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8.xml" ContentType="application/vnd.openxmlformats-officedocument.themeOverride+xml"/>
  <Override PartName="/xl/charts/chart33.xml" ContentType="application/vnd.openxmlformats-officedocument.drawingml.chart+xml"/>
  <Override PartName="/xl/theme/themeOverride9.xml" ContentType="application/vnd.openxmlformats-officedocument.themeOverride+xml"/>
  <Override PartName="/xl/charts/chart34.xml" ContentType="application/vnd.openxmlformats-officedocument.drawingml.chart+xml"/>
  <Override PartName="/xl/theme/themeOverride10.xml" ContentType="application/vnd.openxmlformats-officedocument.themeOverrid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heme/themeOverride11.xml" ContentType="application/vnd.openxmlformats-officedocument.themeOverride+xml"/>
  <Override PartName="/xl/charts/chart37.xml" ContentType="application/vnd.openxmlformats-officedocument.drawingml.chart+xml"/>
  <Override PartName="/xl/drawings/drawing3.xml" ContentType="application/vnd.openxmlformats-officedocument.drawingml.chartshapes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740" yWindow="0" windowWidth="25600" windowHeight="15480"/>
  </bookViews>
  <sheets>
    <sheet name="Norm Dose (2)" sheetId="23" r:id="rId1"/>
    <sheet name="BG" sheetId="22" r:id="rId2"/>
    <sheet name="Norm Dose" sheetId="19" r:id="rId3"/>
    <sheet name="FLOW" sheetId="20" r:id="rId4"/>
    <sheet name="flow correction" sheetId="21" r:id="rId5"/>
    <sheet name="LG" sheetId="6" r:id="rId6"/>
    <sheet name="Tumors" sheetId="16" r:id="rId7"/>
  </sheets>
  <externalReferences>
    <externalReference r:id="rId8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23" l="1"/>
  <c r="H18" i="23"/>
  <c r="H17" i="23"/>
  <c r="I17" i="23"/>
  <c r="J30" i="23"/>
  <c r="AI119" i="23"/>
  <c r="AJ119" i="23"/>
  <c r="AH119" i="23"/>
  <c r="AG119" i="23"/>
  <c r="AD119" i="23"/>
  <c r="AA119" i="23"/>
  <c r="AC119" i="23"/>
  <c r="H116" i="23"/>
  <c r="AN118" i="23"/>
  <c r="AM118" i="23"/>
  <c r="AL118" i="23"/>
  <c r="AI118" i="23"/>
  <c r="AJ118" i="23"/>
  <c r="AH118" i="23"/>
  <c r="AG118" i="23"/>
  <c r="AD118" i="23"/>
  <c r="AA118" i="23"/>
  <c r="AC118" i="23"/>
  <c r="Z118" i="23"/>
  <c r="H115" i="23"/>
  <c r="AI117" i="23"/>
  <c r="AJ117" i="23"/>
  <c r="AH117" i="23"/>
  <c r="AG117" i="23"/>
  <c r="AD117" i="23"/>
  <c r="AA117" i="23"/>
  <c r="AC117" i="23"/>
  <c r="H114" i="23"/>
  <c r="AN116" i="23"/>
  <c r="AM116" i="23"/>
  <c r="AL116" i="23"/>
  <c r="AI116" i="23"/>
  <c r="AJ116" i="23"/>
  <c r="AH116" i="23"/>
  <c r="AG116" i="23"/>
  <c r="AD116" i="23"/>
  <c r="AA116" i="23"/>
  <c r="AC116" i="23"/>
  <c r="Z116" i="23"/>
  <c r="H113" i="23"/>
  <c r="AK115" i="23"/>
  <c r="AI115" i="23"/>
  <c r="AJ115" i="23"/>
  <c r="AH115" i="23"/>
  <c r="AG115" i="23"/>
  <c r="AF115" i="23"/>
  <c r="AD115" i="23"/>
  <c r="AA115" i="23"/>
  <c r="AC115" i="23"/>
  <c r="AB115" i="23"/>
  <c r="V115" i="23"/>
  <c r="H112" i="23"/>
  <c r="AN114" i="23"/>
  <c r="AM114" i="23"/>
  <c r="AL114" i="23"/>
  <c r="AK114" i="23"/>
  <c r="AI114" i="23"/>
  <c r="AJ114" i="23"/>
  <c r="AH114" i="23"/>
  <c r="AG114" i="23"/>
  <c r="AF114" i="23"/>
  <c r="AD114" i="23"/>
  <c r="AA114" i="23"/>
  <c r="AC114" i="23"/>
  <c r="AB114" i="23"/>
  <c r="V114" i="23"/>
  <c r="H111" i="23"/>
  <c r="AK113" i="23"/>
  <c r="AI113" i="23"/>
  <c r="AJ113" i="23"/>
  <c r="AH113" i="23"/>
  <c r="AG113" i="23"/>
  <c r="AF113" i="23"/>
  <c r="AD113" i="23"/>
  <c r="AA113" i="23"/>
  <c r="AC113" i="23"/>
  <c r="AB113" i="23"/>
  <c r="V113" i="23"/>
  <c r="H110" i="23"/>
  <c r="AN112" i="23"/>
  <c r="AM112" i="23"/>
  <c r="AL112" i="23"/>
  <c r="AK112" i="23"/>
  <c r="AI112" i="23"/>
  <c r="AJ112" i="23"/>
  <c r="AH112" i="23"/>
  <c r="AG112" i="23"/>
  <c r="AD112" i="23"/>
  <c r="AA112" i="23"/>
  <c r="AC112" i="23"/>
  <c r="AB112" i="23"/>
  <c r="V112" i="23"/>
  <c r="H109" i="23"/>
  <c r="AK111" i="23"/>
  <c r="AI111" i="23"/>
  <c r="AJ111" i="23"/>
  <c r="AH111" i="23"/>
  <c r="AG111" i="23"/>
  <c r="AF111" i="23"/>
  <c r="AD111" i="23"/>
  <c r="AA111" i="23"/>
  <c r="AC111" i="23"/>
  <c r="AB111" i="23"/>
  <c r="V111" i="23"/>
  <c r="H108" i="23"/>
  <c r="AN110" i="23"/>
  <c r="AM110" i="23"/>
  <c r="AL110" i="23"/>
  <c r="AK110" i="23"/>
  <c r="AI110" i="23"/>
  <c r="AJ110" i="23"/>
  <c r="AH110" i="23"/>
  <c r="AG110" i="23"/>
  <c r="AF110" i="23"/>
  <c r="AD110" i="23"/>
  <c r="AA110" i="23"/>
  <c r="AC110" i="23"/>
  <c r="AB110" i="23"/>
  <c r="V110" i="23"/>
  <c r="H107" i="23"/>
  <c r="AK109" i="23"/>
  <c r="AI109" i="23"/>
  <c r="AJ109" i="23"/>
  <c r="AH109" i="23"/>
  <c r="AG109" i="23"/>
  <c r="AF109" i="23"/>
  <c r="AD109" i="23"/>
  <c r="AA109" i="23"/>
  <c r="AC109" i="23"/>
  <c r="AB109" i="23"/>
  <c r="V109" i="23"/>
  <c r="H106" i="23"/>
  <c r="AN108" i="23"/>
  <c r="AM108" i="23"/>
  <c r="AL108" i="23"/>
  <c r="AK108" i="23"/>
  <c r="AI108" i="23"/>
  <c r="AJ108" i="23"/>
  <c r="AH108" i="23"/>
  <c r="AG108" i="23"/>
  <c r="AF108" i="23"/>
  <c r="AD108" i="23"/>
  <c r="AA108" i="23"/>
  <c r="AC108" i="23"/>
  <c r="AB108" i="23"/>
  <c r="V108" i="23"/>
  <c r="H105" i="23"/>
  <c r="AK107" i="23"/>
  <c r="AI107" i="23"/>
  <c r="AJ107" i="23"/>
  <c r="AH107" i="23"/>
  <c r="AG107" i="23"/>
  <c r="AF107" i="23"/>
  <c r="AD107" i="23"/>
  <c r="AA107" i="23"/>
  <c r="AC107" i="23"/>
  <c r="AB107" i="23"/>
  <c r="V107" i="23"/>
  <c r="H104" i="23"/>
  <c r="AN106" i="23"/>
  <c r="AM106" i="23"/>
  <c r="AL106" i="23"/>
  <c r="AK106" i="23"/>
  <c r="AI106" i="23"/>
  <c r="AJ106" i="23"/>
  <c r="AH106" i="23"/>
  <c r="AG106" i="23"/>
  <c r="AF106" i="23"/>
  <c r="AD106" i="23"/>
  <c r="AA106" i="23"/>
  <c r="AC106" i="23"/>
  <c r="AB106" i="23"/>
  <c r="V106" i="23"/>
  <c r="H103" i="23"/>
  <c r="T30" i="23"/>
  <c r="T26" i="23"/>
  <c r="T36" i="23"/>
  <c r="S30" i="23"/>
  <c r="S26" i="23"/>
  <c r="S36" i="23"/>
  <c r="R30" i="23"/>
  <c r="R26" i="23"/>
  <c r="R36" i="23"/>
  <c r="Q30" i="23"/>
  <c r="Q26" i="23"/>
  <c r="Q36" i="23"/>
  <c r="P30" i="23"/>
  <c r="P26" i="23"/>
  <c r="P36" i="23"/>
  <c r="O30" i="23"/>
  <c r="O26" i="23"/>
  <c r="O36" i="23"/>
  <c r="N30" i="23"/>
  <c r="N26" i="23"/>
  <c r="N36" i="23"/>
  <c r="M30" i="23"/>
  <c r="M26" i="23"/>
  <c r="M36" i="23"/>
  <c r="L30" i="23"/>
  <c r="L26" i="23"/>
  <c r="L36" i="23"/>
  <c r="K30" i="23"/>
  <c r="K26" i="23"/>
  <c r="K36" i="23"/>
  <c r="J26" i="23"/>
  <c r="J36" i="23"/>
  <c r="D39" i="23"/>
  <c r="C39" i="23"/>
  <c r="T31" i="23"/>
  <c r="U17" i="23"/>
  <c r="T32" i="23"/>
  <c r="S31" i="23"/>
  <c r="T17" i="23"/>
  <c r="S32" i="23"/>
  <c r="R31" i="23"/>
  <c r="S17" i="23"/>
  <c r="R32" i="23"/>
  <c r="Q31" i="23"/>
  <c r="R17" i="23"/>
  <c r="Q32" i="23"/>
  <c r="P31" i="23"/>
  <c r="Q17" i="23"/>
  <c r="P32" i="23"/>
  <c r="O31" i="23"/>
  <c r="P17" i="23"/>
  <c r="O32" i="23"/>
  <c r="N31" i="23"/>
  <c r="O17" i="23"/>
  <c r="N32" i="23"/>
  <c r="M31" i="23"/>
  <c r="N17" i="23"/>
  <c r="M32" i="23"/>
  <c r="L31" i="23"/>
  <c r="M17" i="23"/>
  <c r="L32" i="23"/>
  <c r="K31" i="23"/>
  <c r="L17" i="23"/>
  <c r="K32" i="23"/>
  <c r="J31" i="23"/>
  <c r="J32" i="23"/>
  <c r="G30" i="23"/>
  <c r="T27" i="23"/>
  <c r="T28" i="23"/>
  <c r="S27" i="23"/>
  <c r="S28" i="23"/>
  <c r="R27" i="23"/>
  <c r="R28" i="23"/>
  <c r="Q27" i="23"/>
  <c r="Q28" i="23"/>
  <c r="P27" i="23"/>
  <c r="P28" i="23"/>
  <c r="O27" i="23"/>
  <c r="O28" i="23"/>
  <c r="N27" i="23"/>
  <c r="N28" i="23"/>
  <c r="M27" i="23"/>
  <c r="M28" i="23"/>
  <c r="L27" i="23"/>
  <c r="L28" i="23"/>
  <c r="K27" i="23"/>
  <c r="K28" i="23"/>
  <c r="J27" i="23"/>
  <c r="J28" i="23"/>
  <c r="G25" i="23"/>
  <c r="U18" i="23"/>
  <c r="T18" i="23"/>
  <c r="S18" i="23"/>
  <c r="R18" i="23"/>
  <c r="Q18" i="23"/>
  <c r="P18" i="23"/>
  <c r="O18" i="23"/>
  <c r="N18" i="23"/>
  <c r="M18" i="23"/>
  <c r="L18" i="23"/>
  <c r="K18" i="23"/>
  <c r="AI2" i="23"/>
  <c r="AJ2" i="23"/>
  <c r="AI3" i="23"/>
  <c r="AJ3" i="23"/>
  <c r="AI4" i="23"/>
  <c r="AJ4" i="23"/>
  <c r="AI5" i="23"/>
  <c r="AJ5" i="23"/>
  <c r="AI6" i="23"/>
  <c r="AJ6" i="23"/>
  <c r="AI7" i="23"/>
  <c r="AJ7" i="23"/>
  <c r="AI8" i="23"/>
  <c r="AJ8" i="23"/>
  <c r="AJ17" i="23"/>
  <c r="AE17" i="23"/>
  <c r="AM15" i="23"/>
  <c r="AI15" i="23"/>
  <c r="AJ15" i="23"/>
  <c r="AH15" i="23"/>
  <c r="AG15" i="23"/>
  <c r="AD15" i="23"/>
  <c r="AA15" i="23"/>
  <c r="AC15" i="23"/>
  <c r="H15" i="23"/>
  <c r="AM14" i="23"/>
  <c r="AI14" i="23"/>
  <c r="AJ14" i="23"/>
  <c r="AH14" i="23"/>
  <c r="AG14" i="23"/>
  <c r="AD14" i="23"/>
  <c r="AA14" i="23"/>
  <c r="AC14" i="23"/>
  <c r="H14" i="23"/>
  <c r="AM13" i="23"/>
  <c r="AK13" i="23"/>
  <c r="AI13" i="23"/>
  <c r="AJ13" i="23"/>
  <c r="AH13" i="23"/>
  <c r="AG13" i="23"/>
  <c r="AF13" i="23"/>
  <c r="AD13" i="23"/>
  <c r="AA13" i="23"/>
  <c r="AC13" i="23"/>
  <c r="AB13" i="23"/>
  <c r="V13" i="23"/>
  <c r="H13" i="23"/>
  <c r="AM12" i="23"/>
  <c r="AK12" i="23"/>
  <c r="AI12" i="23"/>
  <c r="AJ12" i="23"/>
  <c r="AH12" i="23"/>
  <c r="AG12" i="23"/>
  <c r="AF12" i="23"/>
  <c r="AD12" i="23"/>
  <c r="AA12" i="23"/>
  <c r="AC12" i="23"/>
  <c r="AB12" i="23"/>
  <c r="V12" i="23"/>
  <c r="H12" i="23"/>
  <c r="AM11" i="23"/>
  <c r="AK11" i="23"/>
  <c r="AI11" i="23"/>
  <c r="AJ11" i="23"/>
  <c r="AH11" i="23"/>
  <c r="AG11" i="23"/>
  <c r="AF11" i="23"/>
  <c r="AD11" i="23"/>
  <c r="AA11" i="23"/>
  <c r="AC11" i="23"/>
  <c r="AB11" i="23"/>
  <c r="V11" i="23"/>
  <c r="H11" i="23"/>
  <c r="AM10" i="23"/>
  <c r="AK10" i="23"/>
  <c r="AI10" i="23"/>
  <c r="AJ10" i="23"/>
  <c r="AH10" i="23"/>
  <c r="AG10" i="23"/>
  <c r="AF10" i="23"/>
  <c r="AD10" i="23"/>
  <c r="AA10" i="23"/>
  <c r="AC10" i="23"/>
  <c r="AB10" i="23"/>
  <c r="V10" i="23"/>
  <c r="H10" i="23"/>
  <c r="AM9" i="23"/>
  <c r="AK9" i="23"/>
  <c r="AI9" i="23"/>
  <c r="AJ9" i="23"/>
  <c r="AH9" i="23"/>
  <c r="AG9" i="23"/>
  <c r="AF9" i="23"/>
  <c r="AD9" i="23"/>
  <c r="AA9" i="23"/>
  <c r="AC9" i="23"/>
  <c r="AB9" i="23"/>
  <c r="V9" i="23"/>
  <c r="H9" i="23"/>
  <c r="AM8" i="23"/>
  <c r="AH8" i="23"/>
  <c r="AG8" i="23"/>
  <c r="AD8" i="23"/>
  <c r="AA8" i="23"/>
  <c r="AC8" i="23"/>
  <c r="Z8" i="23"/>
  <c r="H8" i="23"/>
  <c r="AM7" i="23"/>
  <c r="AH7" i="23"/>
  <c r="AG7" i="23"/>
  <c r="AD7" i="23"/>
  <c r="AA7" i="23"/>
  <c r="AC7" i="23"/>
  <c r="Z7" i="23"/>
  <c r="H7" i="23"/>
  <c r="AM6" i="23"/>
  <c r="AK6" i="23"/>
  <c r="AH6" i="23"/>
  <c r="AG6" i="23"/>
  <c r="AF6" i="23"/>
  <c r="AD6" i="23"/>
  <c r="AA6" i="23"/>
  <c r="AC6" i="23"/>
  <c r="AB6" i="23"/>
  <c r="V6" i="23"/>
  <c r="H6" i="23"/>
  <c r="AM5" i="23"/>
  <c r="AL5" i="23"/>
  <c r="AK5" i="23"/>
  <c r="AH5" i="23"/>
  <c r="AG5" i="23"/>
  <c r="AF5" i="23"/>
  <c r="AD5" i="23"/>
  <c r="AA5" i="23"/>
  <c r="AC5" i="23"/>
  <c r="AB5" i="23"/>
  <c r="V5" i="23"/>
  <c r="H5" i="23"/>
  <c r="AM4" i="23"/>
  <c r="AK4" i="23"/>
  <c r="AH4" i="23"/>
  <c r="AG4" i="23"/>
  <c r="AF4" i="23"/>
  <c r="AD4" i="23"/>
  <c r="AA4" i="23"/>
  <c r="AC4" i="23"/>
  <c r="AB4" i="23"/>
  <c r="V4" i="23"/>
  <c r="H4" i="23"/>
  <c r="AM3" i="23"/>
  <c r="AK3" i="23"/>
  <c r="AH3" i="23"/>
  <c r="AG3" i="23"/>
  <c r="AD3" i="23"/>
  <c r="AA3" i="23"/>
  <c r="AC3" i="23"/>
  <c r="AB3" i="23"/>
  <c r="V3" i="23"/>
  <c r="H3" i="23"/>
  <c r="AM2" i="23"/>
  <c r="AK2" i="23"/>
  <c r="AH2" i="23"/>
  <c r="AG2" i="23"/>
  <c r="AF2" i="23"/>
  <c r="AD2" i="23"/>
  <c r="AA2" i="23"/>
  <c r="AC2" i="23"/>
  <c r="AB2" i="23"/>
  <c r="V2" i="23"/>
  <c r="H2" i="23"/>
  <c r="W96" i="22"/>
  <c r="U96" i="22"/>
  <c r="T96" i="22"/>
  <c r="S96" i="22"/>
  <c r="R96" i="22"/>
  <c r="Q96" i="22"/>
  <c r="P96" i="22"/>
  <c r="O96" i="22"/>
  <c r="N96" i="22"/>
  <c r="U89" i="22"/>
  <c r="U86" i="22"/>
  <c r="U93" i="22"/>
  <c r="T89" i="22"/>
  <c r="T86" i="22"/>
  <c r="T93" i="22"/>
  <c r="S89" i="22"/>
  <c r="S86" i="22"/>
  <c r="S93" i="22"/>
  <c r="R89" i="22"/>
  <c r="R86" i="22"/>
  <c r="R93" i="22"/>
  <c r="Q89" i="22"/>
  <c r="Q86" i="22"/>
  <c r="Q93" i="22"/>
  <c r="P89" i="22"/>
  <c r="P86" i="22"/>
  <c r="P93" i="22"/>
  <c r="O89" i="22"/>
  <c r="O86" i="22"/>
  <c r="O93" i="22"/>
  <c r="N89" i="22"/>
  <c r="N86" i="22"/>
  <c r="N93" i="22"/>
  <c r="M89" i="22"/>
  <c r="M86" i="22"/>
  <c r="M93" i="22"/>
  <c r="L89" i="22"/>
  <c r="L86" i="22"/>
  <c r="L93" i="22"/>
  <c r="K89" i="22"/>
  <c r="K86" i="22"/>
  <c r="K93" i="22"/>
  <c r="E89" i="22"/>
  <c r="E88" i="22"/>
  <c r="E87" i="22"/>
  <c r="AK84" i="22"/>
  <c r="AI84" i="22"/>
  <c r="AJ84" i="22"/>
  <c r="AH84" i="22"/>
  <c r="AG84" i="22"/>
  <c r="AD84" i="22"/>
  <c r="AA84" i="22"/>
  <c r="AC84" i="22"/>
  <c r="AB84" i="22"/>
  <c r="V84" i="22"/>
  <c r="H84" i="22"/>
  <c r="AK83" i="22"/>
  <c r="AI83" i="22"/>
  <c r="AJ83" i="22"/>
  <c r="AH83" i="22"/>
  <c r="AG83" i="22"/>
  <c r="AD83" i="22"/>
  <c r="AA83" i="22"/>
  <c r="AC83" i="22"/>
  <c r="AB83" i="22"/>
  <c r="V83" i="22"/>
  <c r="H83" i="22"/>
  <c r="AK82" i="22"/>
  <c r="AI82" i="22"/>
  <c r="AJ82" i="22"/>
  <c r="AH82" i="22"/>
  <c r="AG82" i="22"/>
  <c r="AD82" i="22"/>
  <c r="AA82" i="22"/>
  <c r="AC82" i="22"/>
  <c r="AB82" i="22"/>
  <c r="V82" i="22"/>
  <c r="H82" i="22"/>
  <c r="AK81" i="22"/>
  <c r="AI81" i="22"/>
  <c r="AJ81" i="22"/>
  <c r="AH81" i="22"/>
  <c r="AG81" i="22"/>
  <c r="AD81" i="22"/>
  <c r="AA81" i="22"/>
  <c r="AC81" i="22"/>
  <c r="AB81" i="22"/>
  <c r="V81" i="22"/>
  <c r="H81" i="22"/>
  <c r="AI80" i="22"/>
  <c r="AJ80" i="22"/>
  <c r="AH80" i="22"/>
  <c r="AG80" i="22"/>
  <c r="AD80" i="22"/>
  <c r="AA80" i="22"/>
  <c r="AC80" i="22"/>
  <c r="H80" i="22"/>
  <c r="AI79" i="22"/>
  <c r="AJ79" i="22"/>
  <c r="AH79" i="22"/>
  <c r="AG79" i="22"/>
  <c r="AD79" i="22"/>
  <c r="AA79" i="22"/>
  <c r="AC79" i="22"/>
  <c r="H79" i="22"/>
  <c r="AK76" i="22"/>
  <c r="AI76" i="22"/>
  <c r="AJ76" i="22"/>
  <c r="AH76" i="22"/>
  <c r="AG76" i="22"/>
  <c r="AD76" i="22"/>
  <c r="AA76" i="22"/>
  <c r="AC76" i="22"/>
  <c r="AB76" i="22"/>
  <c r="V76" i="22"/>
  <c r="H76" i="22"/>
  <c r="AK75" i="22"/>
  <c r="AI75" i="22"/>
  <c r="AJ75" i="22"/>
  <c r="AH75" i="22"/>
  <c r="AG75" i="22"/>
  <c r="AD75" i="22"/>
  <c r="AA75" i="22"/>
  <c r="AC75" i="22"/>
  <c r="AB75" i="22"/>
  <c r="V75" i="22"/>
  <c r="H75" i="22"/>
  <c r="AK74" i="22"/>
  <c r="AI74" i="22"/>
  <c r="AJ74" i="22"/>
  <c r="AH74" i="22"/>
  <c r="AG74" i="22"/>
  <c r="AD74" i="22"/>
  <c r="AA74" i="22"/>
  <c r="AC74" i="22"/>
  <c r="AB74" i="22"/>
  <c r="V74" i="22"/>
  <c r="H74" i="22"/>
  <c r="AL73" i="22"/>
  <c r="AK73" i="22"/>
  <c r="AI73" i="22"/>
  <c r="AJ73" i="22"/>
  <c r="AH73" i="22"/>
  <c r="AG73" i="22"/>
  <c r="AD73" i="22"/>
  <c r="AA73" i="22"/>
  <c r="AC73" i="22"/>
  <c r="AB73" i="22"/>
  <c r="V73" i="22"/>
  <c r="H73" i="22"/>
  <c r="AI72" i="22"/>
  <c r="AJ72" i="22"/>
  <c r="AH72" i="22"/>
  <c r="AG72" i="22"/>
  <c r="AD72" i="22"/>
  <c r="AA72" i="22"/>
  <c r="AC72" i="22"/>
  <c r="Z72" i="22"/>
  <c r="V72" i="22"/>
  <c r="H72" i="22"/>
  <c r="AI71" i="22"/>
  <c r="AJ71" i="22"/>
  <c r="AH71" i="22"/>
  <c r="AG71" i="22"/>
  <c r="AD71" i="22"/>
  <c r="AA71" i="22"/>
  <c r="AC71" i="22"/>
  <c r="Z71" i="22"/>
  <c r="V71" i="22"/>
  <c r="H71" i="22"/>
  <c r="M46" i="22"/>
  <c r="U37" i="22"/>
  <c r="U35" i="22"/>
  <c r="U41" i="22"/>
  <c r="T37" i="22"/>
  <c r="T35" i="22"/>
  <c r="T41" i="22"/>
  <c r="S37" i="22"/>
  <c r="S35" i="22"/>
  <c r="S41" i="22"/>
  <c r="R37" i="22"/>
  <c r="R35" i="22"/>
  <c r="R41" i="22"/>
  <c r="Q37" i="22"/>
  <c r="Q35" i="22"/>
  <c r="Q41" i="22"/>
  <c r="P37" i="22"/>
  <c r="P35" i="22"/>
  <c r="P41" i="22"/>
  <c r="O37" i="22"/>
  <c r="O35" i="22"/>
  <c r="O41" i="22"/>
  <c r="N37" i="22"/>
  <c r="N35" i="22"/>
  <c r="N41" i="22"/>
  <c r="M37" i="22"/>
  <c r="M35" i="22"/>
  <c r="M41" i="22"/>
  <c r="L37" i="22"/>
  <c r="L35" i="22"/>
  <c r="L41" i="22"/>
  <c r="K37" i="22"/>
  <c r="K35" i="22"/>
  <c r="K41" i="22"/>
  <c r="H37" i="22"/>
  <c r="AK33" i="22"/>
  <c r="AI33" i="22"/>
  <c r="AJ33" i="22"/>
  <c r="AH33" i="22"/>
  <c r="AG33" i="22"/>
  <c r="AF33" i="22"/>
  <c r="AD33" i="22"/>
  <c r="AA33" i="22"/>
  <c r="AC33" i="22"/>
  <c r="AB33" i="22"/>
  <c r="V33" i="22"/>
  <c r="H33" i="22"/>
  <c r="AK32" i="22"/>
  <c r="AI32" i="22"/>
  <c r="AJ32" i="22"/>
  <c r="AH32" i="22"/>
  <c r="AG32" i="22"/>
  <c r="AF32" i="22"/>
  <c r="AD32" i="22"/>
  <c r="AA32" i="22"/>
  <c r="AC32" i="22"/>
  <c r="AB32" i="22"/>
  <c r="V32" i="22"/>
  <c r="H32" i="22"/>
  <c r="AK31" i="22"/>
  <c r="AI31" i="22"/>
  <c r="AJ31" i="22"/>
  <c r="AH31" i="22"/>
  <c r="AG31" i="22"/>
  <c r="AF31" i="22"/>
  <c r="AD31" i="22"/>
  <c r="AA31" i="22"/>
  <c r="AC31" i="22"/>
  <c r="AB31" i="22"/>
  <c r="V31" i="22"/>
  <c r="H31" i="22"/>
  <c r="AK30" i="22"/>
  <c r="AI30" i="22"/>
  <c r="AJ30" i="22"/>
  <c r="AH30" i="22"/>
  <c r="AG30" i="22"/>
  <c r="AF30" i="22"/>
  <c r="AD30" i="22"/>
  <c r="AA30" i="22"/>
  <c r="AC30" i="22"/>
  <c r="AB30" i="22"/>
  <c r="V30" i="22"/>
  <c r="H30" i="22"/>
  <c r="AK29" i="22"/>
  <c r="AI29" i="22"/>
  <c r="AJ29" i="22"/>
  <c r="AH29" i="22"/>
  <c r="AG29" i="22"/>
  <c r="AF29" i="22"/>
  <c r="AD29" i="22"/>
  <c r="AA29" i="22"/>
  <c r="AC29" i="22"/>
  <c r="AB29" i="22"/>
  <c r="V29" i="22"/>
  <c r="H29" i="22"/>
  <c r="AK28" i="22"/>
  <c r="AI28" i="22"/>
  <c r="AJ28" i="22"/>
  <c r="AH28" i="22"/>
  <c r="AG28" i="22"/>
  <c r="AF28" i="22"/>
  <c r="AD28" i="22"/>
  <c r="AA28" i="22"/>
  <c r="AC28" i="22"/>
  <c r="AB28" i="22"/>
  <c r="V28" i="22"/>
  <c r="H28" i="22"/>
  <c r="AK27" i="22"/>
  <c r="AI27" i="22"/>
  <c r="AJ27" i="22"/>
  <c r="AH27" i="22"/>
  <c r="AG27" i="22"/>
  <c r="AF27" i="22"/>
  <c r="AD27" i="22"/>
  <c r="AA27" i="22"/>
  <c r="AC27" i="22"/>
  <c r="AB27" i="22"/>
  <c r="V27" i="22"/>
  <c r="H27" i="22"/>
  <c r="AA9" i="22"/>
  <c r="AA10" i="22"/>
  <c r="AA11" i="22"/>
  <c r="AA12" i="22"/>
  <c r="AL26" i="22"/>
  <c r="AK26" i="22"/>
  <c r="AI26" i="22"/>
  <c r="AJ26" i="22"/>
  <c r="AH26" i="22"/>
  <c r="AG26" i="22"/>
  <c r="AF26" i="22"/>
  <c r="AD26" i="22"/>
  <c r="AA26" i="22"/>
  <c r="AC26" i="22"/>
  <c r="AB26" i="22"/>
  <c r="V26" i="22"/>
  <c r="H26" i="22"/>
  <c r="AI25" i="22"/>
  <c r="AJ25" i="22"/>
  <c r="AH25" i="22"/>
  <c r="AG25" i="22"/>
  <c r="AD25" i="22"/>
  <c r="AA25" i="22"/>
  <c r="AC25" i="22"/>
  <c r="H25" i="22"/>
  <c r="AI24" i="22"/>
  <c r="AJ24" i="22"/>
  <c r="AH24" i="22"/>
  <c r="AG24" i="22"/>
  <c r="AD24" i="22"/>
  <c r="AA24" i="22"/>
  <c r="AC24" i="22"/>
  <c r="Z24" i="22"/>
  <c r="V24" i="22"/>
  <c r="H24" i="22"/>
  <c r="AI23" i="22"/>
  <c r="AJ23" i="22"/>
  <c r="AH23" i="22"/>
  <c r="AG23" i="22"/>
  <c r="AD23" i="22"/>
  <c r="AA23" i="22"/>
  <c r="AC23" i="22"/>
  <c r="H23" i="22"/>
  <c r="AI22" i="22"/>
  <c r="AJ22" i="22"/>
  <c r="AH22" i="22"/>
  <c r="AG22" i="22"/>
  <c r="AD22" i="22"/>
  <c r="AA22" i="22"/>
  <c r="AC22" i="22"/>
  <c r="Z22" i="22"/>
  <c r="V22" i="22"/>
  <c r="H22" i="22"/>
  <c r="AK20" i="22"/>
  <c r="AI20" i="22"/>
  <c r="AJ20" i="22"/>
  <c r="AH20" i="22"/>
  <c r="AG20" i="22"/>
  <c r="AD20" i="22"/>
  <c r="AA20" i="22"/>
  <c r="AC20" i="22"/>
  <c r="AB20" i="22"/>
  <c r="V20" i="22"/>
  <c r="H20" i="22"/>
  <c r="AA19" i="22"/>
  <c r="V19" i="22"/>
  <c r="AE18" i="22"/>
  <c r="T18" i="22"/>
  <c r="I18" i="22"/>
  <c r="AD18" i="22"/>
  <c r="AC18" i="22"/>
  <c r="AB18" i="22"/>
  <c r="AA18" i="22"/>
  <c r="Z18" i="22"/>
  <c r="Y18" i="22"/>
  <c r="X18" i="22"/>
  <c r="W18" i="22"/>
  <c r="V18" i="22"/>
  <c r="U18" i="22"/>
  <c r="S18" i="22"/>
  <c r="R18" i="22"/>
  <c r="Q18" i="22"/>
  <c r="P18" i="22"/>
  <c r="O18" i="22"/>
  <c r="N18" i="22"/>
  <c r="M18" i="22"/>
  <c r="L18" i="22"/>
  <c r="K18" i="22"/>
  <c r="H18" i="22"/>
  <c r="G18" i="22"/>
  <c r="F18" i="22"/>
  <c r="W17" i="22"/>
  <c r="I17" i="22"/>
  <c r="AF17" i="22"/>
  <c r="AE17" i="22"/>
  <c r="T17" i="22"/>
  <c r="AD17" i="22"/>
  <c r="AC17" i="22"/>
  <c r="AB17" i="22"/>
  <c r="AA17" i="22"/>
  <c r="Z17" i="22"/>
  <c r="Y17" i="22"/>
  <c r="X17" i="22"/>
  <c r="V17" i="22"/>
  <c r="U17" i="22"/>
  <c r="S17" i="22"/>
  <c r="R17" i="22"/>
  <c r="Q17" i="22"/>
  <c r="P17" i="22"/>
  <c r="O17" i="22"/>
  <c r="N17" i="22"/>
  <c r="M17" i="22"/>
  <c r="L17" i="22"/>
  <c r="K17" i="22"/>
  <c r="H17" i="22"/>
  <c r="G17" i="22"/>
  <c r="F17" i="22"/>
  <c r="W16" i="22"/>
  <c r="I16" i="22"/>
  <c r="AF16" i="22"/>
  <c r="AE16" i="22"/>
  <c r="T16" i="22"/>
  <c r="AD16" i="22"/>
  <c r="AC16" i="22"/>
  <c r="AB16" i="22"/>
  <c r="AA16" i="22"/>
  <c r="Z16" i="22"/>
  <c r="Y16" i="22"/>
  <c r="X16" i="22"/>
  <c r="V16" i="22"/>
  <c r="U16" i="22"/>
  <c r="S16" i="22"/>
  <c r="R16" i="22"/>
  <c r="Q16" i="22"/>
  <c r="P16" i="22"/>
  <c r="O16" i="22"/>
  <c r="N16" i="22"/>
  <c r="M16" i="22"/>
  <c r="L16" i="22"/>
  <c r="K16" i="22"/>
  <c r="H16" i="22"/>
  <c r="G16" i="22"/>
  <c r="F16" i="22"/>
  <c r="W15" i="22"/>
  <c r="I15" i="22"/>
  <c r="AF15" i="22"/>
  <c r="AE15" i="22"/>
  <c r="T15" i="22"/>
  <c r="AD15" i="22"/>
  <c r="AC15" i="22"/>
  <c r="AB15" i="22"/>
  <c r="AA15" i="22"/>
  <c r="Z15" i="22"/>
  <c r="Y15" i="22"/>
  <c r="X15" i="22"/>
  <c r="V15" i="22"/>
  <c r="U15" i="22"/>
  <c r="S15" i="22"/>
  <c r="R15" i="22"/>
  <c r="Q15" i="22"/>
  <c r="P15" i="22"/>
  <c r="O15" i="22"/>
  <c r="N15" i="22"/>
  <c r="M15" i="22"/>
  <c r="L15" i="22"/>
  <c r="K15" i="22"/>
  <c r="H15" i="22"/>
  <c r="G15" i="22"/>
  <c r="F15" i="22"/>
  <c r="W14" i="22"/>
  <c r="I14" i="22"/>
  <c r="AF14" i="22"/>
  <c r="AE14" i="22"/>
  <c r="T14" i="22"/>
  <c r="AD14" i="22"/>
  <c r="AC14" i="22"/>
  <c r="AB14" i="22"/>
  <c r="AA14" i="22"/>
  <c r="Z14" i="22"/>
  <c r="Y14" i="22"/>
  <c r="X14" i="22"/>
  <c r="V14" i="22"/>
  <c r="U14" i="22"/>
  <c r="S14" i="22"/>
  <c r="R14" i="22"/>
  <c r="Q14" i="22"/>
  <c r="P14" i="22"/>
  <c r="O14" i="22"/>
  <c r="N14" i="22"/>
  <c r="M14" i="22"/>
  <c r="L14" i="22"/>
  <c r="K14" i="22"/>
  <c r="H14" i="22"/>
  <c r="G14" i="22"/>
  <c r="F14" i="22"/>
  <c r="W13" i="22"/>
  <c r="I13" i="22"/>
  <c r="AF13" i="22"/>
  <c r="AE13" i="22"/>
  <c r="T13" i="22"/>
  <c r="AD13" i="22"/>
  <c r="AC13" i="22"/>
  <c r="AB13" i="22"/>
  <c r="AA13" i="22"/>
  <c r="Z13" i="22"/>
  <c r="Y13" i="22"/>
  <c r="X13" i="22"/>
  <c r="V13" i="22"/>
  <c r="U13" i="22"/>
  <c r="S13" i="22"/>
  <c r="R13" i="22"/>
  <c r="Q13" i="22"/>
  <c r="P13" i="22"/>
  <c r="O13" i="22"/>
  <c r="N13" i="22"/>
  <c r="M13" i="22"/>
  <c r="L13" i="22"/>
  <c r="K13" i="22"/>
  <c r="H13" i="22"/>
  <c r="G13" i="22"/>
  <c r="F13" i="22"/>
  <c r="AK12" i="22"/>
  <c r="AI12" i="22"/>
  <c r="AJ12" i="22"/>
  <c r="AH12" i="22"/>
  <c r="AG12" i="22"/>
  <c r="AF12" i="22"/>
  <c r="AD12" i="22"/>
  <c r="AC12" i="22"/>
  <c r="AB12" i="22"/>
  <c r="V12" i="22"/>
  <c r="H12" i="22"/>
  <c r="AK11" i="22"/>
  <c r="AI11" i="22"/>
  <c r="AJ11" i="22"/>
  <c r="AH11" i="22"/>
  <c r="AG11" i="22"/>
  <c r="AF11" i="22"/>
  <c r="AD11" i="22"/>
  <c r="AC11" i="22"/>
  <c r="AB11" i="22"/>
  <c r="V11" i="22"/>
  <c r="H11" i="22"/>
  <c r="AK10" i="22"/>
  <c r="AI10" i="22"/>
  <c r="AJ10" i="22"/>
  <c r="AH10" i="22"/>
  <c r="AG10" i="22"/>
  <c r="AF10" i="22"/>
  <c r="AD10" i="22"/>
  <c r="AC10" i="22"/>
  <c r="AB10" i="22"/>
  <c r="V10" i="22"/>
  <c r="H10" i="22"/>
  <c r="AM9" i="22"/>
  <c r="AK9" i="22"/>
  <c r="AI9" i="22"/>
  <c r="AJ9" i="22"/>
  <c r="AH9" i="22"/>
  <c r="AG9" i="22"/>
  <c r="AF9" i="22"/>
  <c r="AD9" i="22"/>
  <c r="AC9" i="22"/>
  <c r="AB9" i="22"/>
  <c r="V9" i="22"/>
  <c r="H9" i="22"/>
  <c r="AF8" i="22"/>
  <c r="AF7" i="22"/>
  <c r="AD7" i="22"/>
  <c r="AF6" i="22"/>
  <c r="AD6" i="22"/>
  <c r="AF5" i="22"/>
  <c r="AD5" i="22"/>
  <c r="AF4" i="22"/>
  <c r="AD4" i="22"/>
  <c r="V4" i="22"/>
  <c r="AK3" i="22"/>
  <c r="AI3" i="22"/>
  <c r="AJ3" i="22"/>
  <c r="AH3" i="22"/>
  <c r="AG3" i="22"/>
  <c r="AF3" i="22"/>
  <c r="AD3" i="22"/>
  <c r="AA3" i="22"/>
  <c r="AC3" i="22"/>
  <c r="V3" i="22"/>
  <c r="H3" i="22"/>
  <c r="AK2" i="22"/>
  <c r="AI2" i="22"/>
  <c r="AJ2" i="22"/>
  <c r="AH2" i="22"/>
  <c r="AG2" i="22"/>
  <c r="AF2" i="22"/>
  <c r="AD2" i="22"/>
  <c r="AA2" i="22"/>
  <c r="AC2" i="22"/>
  <c r="V2" i="22"/>
  <c r="H2" i="22"/>
  <c r="E16" i="6"/>
  <c r="E17" i="6"/>
  <c r="E18" i="6"/>
  <c r="E19" i="6"/>
  <c r="E20" i="6"/>
  <c r="M52" i="19"/>
  <c r="K52" i="19"/>
  <c r="H24" i="19"/>
  <c r="V24" i="19"/>
  <c r="AA24" i="19"/>
  <c r="AB24" i="19"/>
  <c r="AI24" i="19"/>
  <c r="AJ24" i="19"/>
  <c r="AC24" i="19"/>
  <c r="AD24" i="19"/>
  <c r="AG24" i="19"/>
  <c r="AH24" i="19"/>
  <c r="AK24" i="19"/>
  <c r="M48" i="19"/>
  <c r="M62" i="19"/>
  <c r="M70" i="19"/>
  <c r="J48" i="19"/>
  <c r="E4" i="21"/>
  <c r="G4" i="21"/>
  <c r="G3" i="20"/>
  <c r="G38" i="20"/>
  <c r="G42" i="20"/>
  <c r="G41" i="20"/>
  <c r="G40" i="20"/>
  <c r="G39" i="20"/>
  <c r="E43" i="21"/>
  <c r="G43" i="21"/>
  <c r="H66" i="20"/>
  <c r="G4" i="20"/>
  <c r="G5" i="20"/>
  <c r="E7" i="21"/>
  <c r="G7" i="21"/>
  <c r="G6" i="20"/>
  <c r="G7" i="20"/>
  <c r="G8" i="20"/>
  <c r="G9" i="20"/>
  <c r="G10" i="20"/>
  <c r="E38" i="21"/>
  <c r="G38" i="21"/>
  <c r="G45" i="20"/>
  <c r="G44" i="20"/>
  <c r="G43" i="20"/>
  <c r="E30" i="21"/>
  <c r="G30" i="21"/>
  <c r="G35" i="20"/>
  <c r="G36" i="20"/>
  <c r="G37" i="20"/>
  <c r="F67" i="20"/>
  <c r="G67" i="20"/>
  <c r="I67" i="20"/>
  <c r="J67" i="20"/>
  <c r="E67" i="20"/>
  <c r="H60" i="20"/>
  <c r="H59" i="20"/>
  <c r="G46" i="20"/>
  <c r="G47" i="20"/>
  <c r="G48" i="20"/>
  <c r="G49" i="20"/>
  <c r="G50" i="20"/>
  <c r="E24" i="21"/>
  <c r="G24" i="21"/>
  <c r="G27" i="20"/>
  <c r="G28" i="20"/>
  <c r="G29" i="20"/>
  <c r="E28" i="21"/>
  <c r="G28" i="21"/>
  <c r="G30" i="20"/>
  <c r="G31" i="20"/>
  <c r="G32" i="20"/>
  <c r="G33" i="20"/>
  <c r="G34" i="20"/>
  <c r="E9" i="21"/>
  <c r="G9" i="21"/>
  <c r="G11" i="20"/>
  <c r="G12" i="20"/>
  <c r="G13" i="20"/>
  <c r="E15" i="21"/>
  <c r="G15" i="21"/>
  <c r="G14" i="20"/>
  <c r="G15" i="20"/>
  <c r="G16" i="20"/>
  <c r="G17" i="20"/>
  <c r="G18" i="20"/>
  <c r="E17" i="21"/>
  <c r="G17" i="21"/>
  <c r="G19" i="20"/>
  <c r="G20" i="20"/>
  <c r="G21" i="20"/>
  <c r="E22" i="21"/>
  <c r="G22" i="21"/>
  <c r="G22" i="20"/>
  <c r="G23" i="20"/>
  <c r="G24" i="20"/>
  <c r="G25" i="20"/>
  <c r="G26" i="20"/>
  <c r="H55" i="20"/>
  <c r="H61" i="20"/>
  <c r="H56" i="20"/>
  <c r="H62" i="20"/>
  <c r="H57" i="20"/>
  <c r="H63" i="20"/>
  <c r="H58" i="20"/>
  <c r="H64" i="20"/>
  <c r="H67" i="20"/>
  <c r="E6" i="21"/>
  <c r="G6" i="21"/>
  <c r="E14" i="21"/>
  <c r="G14" i="21"/>
  <c r="E27" i="21"/>
  <c r="G27" i="21"/>
  <c r="E42" i="21"/>
  <c r="E41" i="21"/>
  <c r="E40" i="21"/>
  <c r="E36" i="21"/>
  <c r="E35" i="21"/>
  <c r="E34" i="21"/>
  <c r="E33" i="21"/>
  <c r="E31" i="21"/>
  <c r="E25" i="21"/>
  <c r="E21" i="21"/>
  <c r="E20" i="21"/>
  <c r="E19" i="21"/>
  <c r="E10" i="21"/>
  <c r="E13" i="21"/>
  <c r="E12" i="21"/>
  <c r="F26" i="6"/>
  <c r="G26" i="6"/>
  <c r="H26" i="6"/>
  <c r="I26" i="6"/>
  <c r="J26" i="6"/>
  <c r="K26" i="6"/>
  <c r="L26" i="6"/>
  <c r="M26" i="6"/>
  <c r="N26" i="6"/>
  <c r="O26" i="6"/>
  <c r="F25" i="6"/>
  <c r="G25" i="6"/>
  <c r="H25" i="6"/>
  <c r="I25" i="6"/>
  <c r="J25" i="6"/>
  <c r="K25" i="6"/>
  <c r="L25" i="6"/>
  <c r="M25" i="6"/>
  <c r="N25" i="6"/>
  <c r="O25" i="6"/>
  <c r="F24" i="6"/>
  <c r="G24" i="6"/>
  <c r="H24" i="6"/>
  <c r="I24" i="6"/>
  <c r="J24" i="6"/>
  <c r="K24" i="6"/>
  <c r="L24" i="6"/>
  <c r="M24" i="6"/>
  <c r="N24" i="6"/>
  <c r="O24" i="6"/>
  <c r="F23" i="6"/>
  <c r="G23" i="6"/>
  <c r="H23" i="6"/>
  <c r="I23" i="6"/>
  <c r="J23" i="6"/>
  <c r="K23" i="6"/>
  <c r="L23" i="6"/>
  <c r="M23" i="6"/>
  <c r="N23" i="6"/>
  <c r="O23" i="6"/>
  <c r="F19" i="6"/>
  <c r="G19" i="6"/>
  <c r="H19" i="6"/>
  <c r="I19" i="6"/>
  <c r="J19" i="6"/>
  <c r="K19" i="6"/>
  <c r="L19" i="6"/>
  <c r="M19" i="6"/>
  <c r="N19" i="6"/>
  <c r="O19" i="6"/>
  <c r="F18" i="6"/>
  <c r="G18" i="6"/>
  <c r="H18" i="6"/>
  <c r="I18" i="6"/>
  <c r="J18" i="6"/>
  <c r="K18" i="6"/>
  <c r="L18" i="6"/>
  <c r="M18" i="6"/>
  <c r="N18" i="6"/>
  <c r="O18" i="6"/>
  <c r="F17" i="6"/>
  <c r="G17" i="6"/>
  <c r="H17" i="6"/>
  <c r="I17" i="6"/>
  <c r="J17" i="6"/>
  <c r="K17" i="6"/>
  <c r="L17" i="6"/>
  <c r="M17" i="6"/>
  <c r="N17" i="6"/>
  <c r="O17" i="6"/>
  <c r="F16" i="6"/>
  <c r="G16" i="6"/>
  <c r="H16" i="6"/>
  <c r="I16" i="6"/>
  <c r="J16" i="6"/>
  <c r="K16" i="6"/>
  <c r="L16" i="6"/>
  <c r="M16" i="6"/>
  <c r="N16" i="6"/>
  <c r="O16" i="6"/>
  <c r="E26" i="6"/>
  <c r="E25" i="6"/>
  <c r="E24" i="6"/>
  <c r="E23" i="6"/>
  <c r="J49" i="19"/>
  <c r="J50" i="19"/>
  <c r="J52" i="19"/>
  <c r="L52" i="19"/>
  <c r="N52" i="19"/>
  <c r="O52" i="19"/>
  <c r="P52" i="19"/>
  <c r="Q52" i="19"/>
  <c r="R52" i="19"/>
  <c r="S52" i="19"/>
  <c r="T52" i="19"/>
  <c r="K48" i="19"/>
  <c r="L48" i="19"/>
  <c r="N48" i="19"/>
  <c r="O48" i="19"/>
  <c r="P48" i="19"/>
  <c r="Q48" i="19"/>
  <c r="R48" i="19"/>
  <c r="S48" i="19"/>
  <c r="T48" i="19"/>
  <c r="J56" i="19"/>
  <c r="K56" i="19"/>
  <c r="L56" i="19"/>
  <c r="M56" i="19"/>
  <c r="N56" i="19"/>
  <c r="O56" i="19"/>
  <c r="P56" i="19"/>
  <c r="Q56" i="19"/>
  <c r="R56" i="19"/>
  <c r="S56" i="19"/>
  <c r="T56" i="19"/>
  <c r="T64" i="19"/>
  <c r="S64" i="19"/>
  <c r="R64" i="19"/>
  <c r="Q64" i="19"/>
  <c r="P64" i="19"/>
  <c r="O64" i="19"/>
  <c r="N64" i="19"/>
  <c r="M64" i="19"/>
  <c r="L64" i="19"/>
  <c r="K64" i="19"/>
  <c r="J64" i="19"/>
  <c r="T63" i="19"/>
  <c r="S63" i="19"/>
  <c r="R63" i="19"/>
  <c r="Q63" i="19"/>
  <c r="P63" i="19"/>
  <c r="O63" i="19"/>
  <c r="N63" i="19"/>
  <c r="M63" i="19"/>
  <c r="L63" i="19"/>
  <c r="K63" i="19"/>
  <c r="J63" i="19"/>
  <c r="T62" i="19"/>
  <c r="S62" i="19"/>
  <c r="R62" i="19"/>
  <c r="Q62" i="19"/>
  <c r="P62" i="19"/>
  <c r="O62" i="19"/>
  <c r="N62" i="19"/>
  <c r="L62" i="19"/>
  <c r="K62" i="19"/>
  <c r="J62" i="19"/>
  <c r="N72" i="19"/>
  <c r="M72" i="19"/>
  <c r="N71" i="19"/>
  <c r="M71" i="19"/>
  <c r="N70" i="19"/>
  <c r="T57" i="19"/>
  <c r="T58" i="19"/>
  <c r="S57" i="19"/>
  <c r="S58" i="19"/>
  <c r="R57" i="19"/>
  <c r="R58" i="19"/>
  <c r="Q57" i="19"/>
  <c r="Q58" i="19"/>
  <c r="P57" i="19"/>
  <c r="P58" i="19"/>
  <c r="O57" i="19"/>
  <c r="O58" i="19"/>
  <c r="N57" i="19"/>
  <c r="N58" i="19"/>
  <c r="M57" i="19"/>
  <c r="M58" i="19"/>
  <c r="L57" i="19"/>
  <c r="L58" i="19"/>
  <c r="K57" i="19"/>
  <c r="K58" i="19"/>
  <c r="J57" i="19"/>
  <c r="J58" i="19"/>
  <c r="G56" i="19"/>
  <c r="T53" i="19"/>
  <c r="T54" i="19"/>
  <c r="S53" i="19"/>
  <c r="S54" i="19"/>
  <c r="R53" i="19"/>
  <c r="R54" i="19"/>
  <c r="Q53" i="19"/>
  <c r="Q54" i="19"/>
  <c r="P53" i="19"/>
  <c r="P54" i="19"/>
  <c r="O53" i="19"/>
  <c r="O54" i="19"/>
  <c r="N53" i="19"/>
  <c r="N54" i="19"/>
  <c r="M53" i="19"/>
  <c r="M54" i="19"/>
  <c r="L53" i="19"/>
  <c r="L54" i="19"/>
  <c r="K53" i="19"/>
  <c r="K54" i="19"/>
  <c r="J53" i="19"/>
  <c r="J54" i="19"/>
  <c r="G51" i="19"/>
  <c r="T49" i="19"/>
  <c r="T50" i="19"/>
  <c r="S49" i="19"/>
  <c r="S50" i="19"/>
  <c r="R49" i="19"/>
  <c r="R50" i="19"/>
  <c r="Q49" i="19"/>
  <c r="Q50" i="19"/>
  <c r="P49" i="19"/>
  <c r="P50" i="19"/>
  <c r="O49" i="19"/>
  <c r="O50" i="19"/>
  <c r="N49" i="19"/>
  <c r="N50" i="19"/>
  <c r="M49" i="19"/>
  <c r="M50" i="19"/>
  <c r="L49" i="19"/>
  <c r="L50" i="19"/>
  <c r="K49" i="19"/>
  <c r="K50" i="19"/>
  <c r="G48" i="19"/>
  <c r="AA25" i="19"/>
  <c r="AI25" i="19"/>
  <c r="AJ25" i="19"/>
  <c r="AC25" i="19"/>
  <c r="AA26" i="19"/>
  <c r="AI26" i="19"/>
  <c r="AJ26" i="19"/>
  <c r="AC26" i="19"/>
  <c r="AA27" i="19"/>
  <c r="AI27" i="19"/>
  <c r="AJ27" i="19"/>
  <c r="AC27" i="19"/>
  <c r="AA28" i="19"/>
  <c r="AI28" i="19"/>
  <c r="AJ28" i="19"/>
  <c r="AC28" i="19"/>
  <c r="AA29" i="19"/>
  <c r="AI29" i="19"/>
  <c r="AJ29" i="19"/>
  <c r="AC29" i="19"/>
  <c r="AA30" i="19"/>
  <c r="AI30" i="19"/>
  <c r="AJ30" i="19"/>
  <c r="AC30" i="19"/>
  <c r="AA31" i="19"/>
  <c r="AI31" i="19"/>
  <c r="AJ31" i="19"/>
  <c r="AC31" i="19"/>
  <c r="AA32" i="19"/>
  <c r="AI32" i="19"/>
  <c r="AJ32" i="19"/>
  <c r="AC32" i="19"/>
  <c r="AA33" i="19"/>
  <c r="AI33" i="19"/>
  <c r="AJ33" i="19"/>
  <c r="AC33" i="19"/>
  <c r="AI13" i="19"/>
  <c r="AJ13" i="19"/>
  <c r="AI14" i="19"/>
  <c r="AJ14" i="19"/>
  <c r="AI15" i="19"/>
  <c r="AJ15" i="19"/>
  <c r="AI16" i="19"/>
  <c r="AJ16" i="19"/>
  <c r="AI17" i="19"/>
  <c r="AJ17" i="19"/>
  <c r="AI18" i="19"/>
  <c r="AJ18" i="19"/>
  <c r="AI19" i="19"/>
  <c r="AJ19" i="19"/>
  <c r="AI20" i="19"/>
  <c r="AJ20" i="19"/>
  <c r="AI21" i="19"/>
  <c r="AJ21" i="19"/>
  <c r="AI22" i="19"/>
  <c r="AJ22" i="19"/>
  <c r="AI23" i="19"/>
  <c r="AJ23" i="19"/>
  <c r="AA13" i="19"/>
  <c r="AC13" i="19"/>
  <c r="AA14" i="19"/>
  <c r="AC14" i="19"/>
  <c r="AA15" i="19"/>
  <c r="AC15" i="19"/>
  <c r="AA16" i="19"/>
  <c r="AC16" i="19"/>
  <c r="AA17" i="19"/>
  <c r="AC17" i="19"/>
  <c r="AA18" i="19"/>
  <c r="AC18" i="19"/>
  <c r="AA19" i="19"/>
  <c r="AC19" i="19"/>
  <c r="AA20" i="19"/>
  <c r="AC20" i="19"/>
  <c r="AA21" i="19"/>
  <c r="AC21" i="19"/>
  <c r="AA22" i="19"/>
  <c r="AC22" i="19"/>
  <c r="AA23" i="19"/>
  <c r="AC23" i="19"/>
  <c r="AA2" i="19"/>
  <c r="AI2" i="19"/>
  <c r="AJ2" i="19"/>
  <c r="AC2" i="19"/>
  <c r="AA3" i="19"/>
  <c r="AI3" i="19"/>
  <c r="AJ3" i="19"/>
  <c r="AC3" i="19"/>
  <c r="AA4" i="19"/>
  <c r="AI4" i="19"/>
  <c r="AJ4" i="19"/>
  <c r="AC4" i="19"/>
  <c r="AA5" i="19"/>
  <c r="AI5" i="19"/>
  <c r="AJ5" i="19"/>
  <c r="AC5" i="19"/>
  <c r="AA6" i="19"/>
  <c r="AI6" i="19"/>
  <c r="AJ6" i="19"/>
  <c r="AC6" i="19"/>
  <c r="AA7" i="19"/>
  <c r="AI7" i="19"/>
  <c r="AJ7" i="19"/>
  <c r="AC7" i="19"/>
  <c r="AA8" i="19"/>
  <c r="AI8" i="19"/>
  <c r="AJ8" i="19"/>
  <c r="AC8" i="19"/>
  <c r="AA9" i="19"/>
  <c r="AI9" i="19"/>
  <c r="AJ9" i="19"/>
  <c r="AC9" i="19"/>
  <c r="AA10" i="19"/>
  <c r="AI10" i="19"/>
  <c r="AJ10" i="19"/>
  <c r="AC10" i="19"/>
  <c r="AI34" i="19"/>
  <c r="AJ34" i="19"/>
  <c r="AI35" i="19"/>
  <c r="AJ35" i="19"/>
  <c r="AH35" i="19"/>
  <c r="AG35" i="19"/>
  <c r="AD35" i="19"/>
  <c r="AA35" i="19"/>
  <c r="AC35" i="19"/>
  <c r="H35" i="19"/>
  <c r="AH34" i="19"/>
  <c r="AG34" i="19"/>
  <c r="AD34" i="19"/>
  <c r="AA34" i="19"/>
  <c r="AC34" i="19"/>
  <c r="H34" i="19"/>
  <c r="AK33" i="19"/>
  <c r="AH33" i="19"/>
  <c r="AG33" i="19"/>
  <c r="AD33" i="19"/>
  <c r="AB33" i="19"/>
  <c r="V33" i="19"/>
  <c r="H33" i="19"/>
  <c r="AK32" i="19"/>
  <c r="AH32" i="19"/>
  <c r="AG32" i="19"/>
  <c r="AF32" i="19"/>
  <c r="AD32" i="19"/>
  <c r="AB32" i="19"/>
  <c r="V32" i="19"/>
  <c r="H32" i="19"/>
  <c r="AK31" i="19"/>
  <c r="AH31" i="19"/>
  <c r="AG31" i="19"/>
  <c r="AF31" i="19"/>
  <c r="AD31" i="19"/>
  <c r="AB31" i="19"/>
  <c r="V31" i="19"/>
  <c r="H31" i="19"/>
  <c r="AK30" i="19"/>
  <c r="AH30" i="19"/>
  <c r="AG30" i="19"/>
  <c r="AF30" i="19"/>
  <c r="AD30" i="19"/>
  <c r="AB30" i="19"/>
  <c r="V30" i="19"/>
  <c r="H30" i="19"/>
  <c r="AK29" i="19"/>
  <c r="AH29" i="19"/>
  <c r="AG29" i="19"/>
  <c r="AF29" i="19"/>
  <c r="AD29" i="19"/>
  <c r="AB29" i="19"/>
  <c r="V29" i="19"/>
  <c r="H29" i="19"/>
  <c r="AK28" i="19"/>
  <c r="AH28" i="19"/>
  <c r="AG28" i="19"/>
  <c r="AF28" i="19"/>
  <c r="AD28" i="19"/>
  <c r="AB28" i="19"/>
  <c r="V28" i="19"/>
  <c r="H28" i="19"/>
  <c r="AK27" i="19"/>
  <c r="AH27" i="19"/>
  <c r="AG27" i="19"/>
  <c r="AF27" i="19"/>
  <c r="AD27" i="19"/>
  <c r="AB27" i="19"/>
  <c r="V27" i="19"/>
  <c r="H27" i="19"/>
  <c r="AK26" i="19"/>
  <c r="AH26" i="19"/>
  <c r="AG26" i="19"/>
  <c r="AD26" i="19"/>
  <c r="AB26" i="19"/>
  <c r="V26" i="19"/>
  <c r="H26" i="19"/>
  <c r="AK25" i="19"/>
  <c r="AH25" i="19"/>
  <c r="AG25" i="19"/>
  <c r="AF25" i="19"/>
  <c r="AD25" i="19"/>
  <c r="AB25" i="19"/>
  <c r="V25" i="19"/>
  <c r="H25" i="19"/>
  <c r="AH23" i="19"/>
  <c r="AG23" i="19"/>
  <c r="AD23" i="19"/>
  <c r="Z23" i="19"/>
  <c r="H23" i="19"/>
  <c r="AH22" i="19"/>
  <c r="AG22" i="19"/>
  <c r="AD22" i="19"/>
  <c r="Z22" i="19"/>
  <c r="H22" i="19"/>
  <c r="AK21" i="19"/>
  <c r="AH21" i="19"/>
  <c r="AG21" i="19"/>
  <c r="AD21" i="19"/>
  <c r="V21" i="19"/>
  <c r="H21" i="19"/>
  <c r="AK20" i="19"/>
  <c r="AH20" i="19"/>
  <c r="AG20" i="19"/>
  <c r="AD20" i="19"/>
  <c r="V20" i="19"/>
  <c r="H20" i="19"/>
  <c r="AK19" i="19"/>
  <c r="AH19" i="19"/>
  <c r="AG19" i="19"/>
  <c r="AF19" i="19"/>
  <c r="AD19" i="19"/>
  <c r="AB19" i="19"/>
  <c r="V19" i="19"/>
  <c r="H19" i="19"/>
  <c r="AK18" i="19"/>
  <c r="AH18" i="19"/>
  <c r="AG18" i="19"/>
  <c r="AD18" i="19"/>
  <c r="AB18" i="19"/>
  <c r="V18" i="19"/>
  <c r="H18" i="19"/>
  <c r="AK17" i="19"/>
  <c r="AH17" i="19"/>
  <c r="AG17" i="19"/>
  <c r="AF17" i="19"/>
  <c r="AD17" i="19"/>
  <c r="AB17" i="19"/>
  <c r="V17" i="19"/>
  <c r="H17" i="19"/>
  <c r="AK16" i="19"/>
  <c r="AH16" i="19"/>
  <c r="AG16" i="19"/>
  <c r="AF16" i="19"/>
  <c r="AD16" i="19"/>
  <c r="AB16" i="19"/>
  <c r="V16" i="19"/>
  <c r="H16" i="19"/>
  <c r="AK15" i="19"/>
  <c r="AH15" i="19"/>
  <c r="AG15" i="19"/>
  <c r="AD15" i="19"/>
  <c r="AB15" i="19"/>
  <c r="V15" i="19"/>
  <c r="H15" i="19"/>
  <c r="AK14" i="19"/>
  <c r="AH14" i="19"/>
  <c r="AG14" i="19"/>
  <c r="AF14" i="19"/>
  <c r="AD14" i="19"/>
  <c r="AB14" i="19"/>
  <c r="V14" i="19"/>
  <c r="H14" i="19"/>
  <c r="AK13" i="19"/>
  <c r="AH13" i="19"/>
  <c r="AG13" i="19"/>
  <c r="AF13" i="19"/>
  <c r="AD13" i="19"/>
  <c r="AB13" i="19"/>
  <c r="V13" i="19"/>
  <c r="H13" i="19"/>
  <c r="AD12" i="19"/>
  <c r="AD11" i="19"/>
  <c r="AK10" i="19"/>
  <c r="AH10" i="19"/>
  <c r="AG10" i="19"/>
  <c r="AF10" i="19"/>
  <c r="AD10" i="19"/>
  <c r="AB10" i="19"/>
  <c r="V10" i="19"/>
  <c r="H10" i="19"/>
  <c r="AK9" i="19"/>
  <c r="AH9" i="19"/>
  <c r="AG9" i="19"/>
  <c r="AF9" i="19"/>
  <c r="AD9" i="19"/>
  <c r="AB9" i="19"/>
  <c r="V9" i="19"/>
  <c r="H9" i="19"/>
  <c r="AK8" i="19"/>
  <c r="AH8" i="19"/>
  <c r="AG8" i="19"/>
  <c r="AD8" i="19"/>
  <c r="V8" i="19"/>
  <c r="H8" i="19"/>
  <c r="AK7" i="19"/>
  <c r="AH7" i="19"/>
  <c r="AG7" i="19"/>
  <c r="AD7" i="19"/>
  <c r="V7" i="19"/>
  <c r="H7" i="19"/>
  <c r="AK6" i="19"/>
  <c r="AH6" i="19"/>
  <c r="AG6" i="19"/>
  <c r="AF6" i="19"/>
  <c r="AD6" i="19"/>
  <c r="AB6" i="19"/>
  <c r="V6" i="19"/>
  <c r="H6" i="19"/>
  <c r="AK5" i="19"/>
  <c r="AH5" i="19"/>
  <c r="AG5" i="19"/>
  <c r="AF5" i="19"/>
  <c r="AD5" i="19"/>
  <c r="AB5" i="19"/>
  <c r="V5" i="19"/>
  <c r="H5" i="19"/>
  <c r="AK4" i="19"/>
  <c r="AH4" i="19"/>
  <c r="AG4" i="19"/>
  <c r="AF4" i="19"/>
  <c r="AD4" i="19"/>
  <c r="AB4" i="19"/>
  <c r="V4" i="19"/>
  <c r="H4" i="19"/>
  <c r="AK3" i="19"/>
  <c r="AH3" i="19"/>
  <c r="AG3" i="19"/>
  <c r="AF3" i="19"/>
  <c r="AD3" i="19"/>
  <c r="AB3" i="19"/>
  <c r="V3" i="19"/>
  <c r="AK2" i="19"/>
  <c r="AH2" i="19"/>
  <c r="AG2" i="19"/>
  <c r="AF2" i="19"/>
  <c r="AD2" i="19"/>
  <c r="AB2" i="19"/>
  <c r="V2" i="19"/>
  <c r="Z8" i="6"/>
  <c r="Z9" i="6"/>
  <c r="Z10" i="6"/>
  <c r="Z11" i="6"/>
  <c r="Z4" i="6"/>
  <c r="Z5" i="6"/>
  <c r="Z6" i="6"/>
  <c r="Z7" i="6"/>
  <c r="E3" i="16"/>
  <c r="E4" i="16"/>
  <c r="E5" i="16"/>
  <c r="E6" i="16"/>
  <c r="E7" i="16"/>
  <c r="E8" i="16"/>
  <c r="E9" i="16"/>
  <c r="E10" i="16"/>
  <c r="O4" i="16"/>
  <c r="O5" i="16"/>
  <c r="O6" i="16"/>
  <c r="O7" i="16"/>
  <c r="O8" i="16"/>
  <c r="O9" i="16"/>
  <c r="O10" i="16"/>
  <c r="E11" i="16"/>
  <c r="O11" i="16"/>
  <c r="E12" i="16"/>
  <c r="O12" i="16"/>
  <c r="E13" i="16"/>
  <c r="O13" i="16"/>
  <c r="E14" i="16"/>
  <c r="O14" i="16"/>
  <c r="E15" i="16"/>
  <c r="O15" i="16"/>
  <c r="E16" i="16"/>
  <c r="O16" i="16"/>
  <c r="E17" i="16"/>
  <c r="O17" i="16"/>
  <c r="E18" i="16"/>
  <c r="O18" i="16"/>
  <c r="E19" i="16"/>
  <c r="O19" i="16"/>
  <c r="E20" i="16"/>
  <c r="O20" i="16"/>
  <c r="E21" i="16"/>
  <c r="O21" i="16"/>
  <c r="E22" i="16"/>
  <c r="O22" i="16"/>
  <c r="E23" i="16"/>
  <c r="O23" i="16"/>
  <c r="E24" i="16"/>
  <c r="O24" i="16"/>
  <c r="E25" i="16"/>
  <c r="O25" i="16"/>
  <c r="E26" i="16"/>
  <c r="O26" i="16"/>
  <c r="E27" i="16"/>
  <c r="O27" i="16"/>
  <c r="E28" i="16"/>
  <c r="O28" i="16"/>
  <c r="O3" i="16"/>
  <c r="Y10" i="6"/>
  <c r="Y11" i="6"/>
  <c r="E28" i="6"/>
  <c r="F28" i="6"/>
  <c r="G28" i="6"/>
  <c r="H28" i="6"/>
  <c r="I28" i="6"/>
  <c r="J28" i="6"/>
  <c r="K28" i="6"/>
  <c r="L28" i="6"/>
  <c r="M28" i="6"/>
  <c r="N28" i="6"/>
  <c r="O28" i="6"/>
  <c r="D28" i="6"/>
  <c r="E27" i="6"/>
  <c r="F27" i="6"/>
  <c r="G27" i="6"/>
  <c r="H27" i="6"/>
  <c r="I27" i="6"/>
  <c r="J27" i="6"/>
  <c r="K27" i="6"/>
  <c r="L27" i="6"/>
  <c r="M27" i="6"/>
  <c r="N27" i="6"/>
  <c r="O27" i="6"/>
  <c r="D27" i="6"/>
  <c r="F20" i="6"/>
  <c r="G20" i="6"/>
  <c r="H20" i="6"/>
  <c r="I20" i="6"/>
  <c r="J20" i="6"/>
  <c r="K20" i="6"/>
  <c r="L20" i="6"/>
  <c r="M20" i="6"/>
  <c r="N20" i="6"/>
  <c r="O20" i="6"/>
  <c r="E21" i="6"/>
  <c r="F21" i="6"/>
  <c r="G21" i="6"/>
  <c r="H21" i="6"/>
  <c r="I21" i="6"/>
  <c r="J21" i="6"/>
  <c r="K21" i="6"/>
  <c r="L21" i="6"/>
  <c r="M21" i="6"/>
  <c r="N21" i="6"/>
  <c r="O21" i="6"/>
  <c r="D16" i="6"/>
  <c r="D21" i="6"/>
  <c r="D20" i="6"/>
  <c r="X4" i="6"/>
  <c r="X5" i="6"/>
  <c r="X6" i="6"/>
  <c r="X7" i="6"/>
  <c r="Y4" i="6"/>
  <c r="Y5" i="6"/>
  <c r="Y6" i="6"/>
  <c r="Y7" i="6"/>
  <c r="X8" i="6"/>
  <c r="X9" i="6"/>
  <c r="Y8" i="6"/>
  <c r="Y9" i="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3" i="16"/>
  <c r="M4" i="16"/>
  <c r="N4" i="16"/>
  <c r="M5" i="16"/>
  <c r="N5" i="16"/>
  <c r="M6" i="16"/>
  <c r="N6" i="16"/>
  <c r="M7" i="16"/>
  <c r="N7" i="16"/>
  <c r="M8" i="16"/>
  <c r="N8" i="16"/>
  <c r="M9" i="16"/>
  <c r="N9" i="16"/>
  <c r="M10" i="16"/>
  <c r="N10" i="16"/>
  <c r="M11" i="16"/>
  <c r="N11" i="16"/>
  <c r="M12" i="16"/>
  <c r="N12" i="16"/>
  <c r="M13" i="16"/>
  <c r="N13" i="16"/>
  <c r="M14" i="16"/>
  <c r="N14" i="16"/>
  <c r="M15" i="16"/>
  <c r="N15" i="16"/>
  <c r="M16" i="16"/>
  <c r="N16" i="16"/>
  <c r="M17" i="16"/>
  <c r="N17" i="16"/>
  <c r="M18" i="16"/>
  <c r="N18" i="16"/>
  <c r="M19" i="16"/>
  <c r="N19" i="16"/>
  <c r="M20" i="16"/>
  <c r="N20" i="16"/>
  <c r="M21" i="16"/>
  <c r="N21" i="16"/>
  <c r="M22" i="16"/>
  <c r="N22" i="16"/>
  <c r="M23" i="16"/>
  <c r="N23" i="16"/>
  <c r="M24" i="16"/>
  <c r="N24" i="16"/>
  <c r="M25" i="16"/>
  <c r="N25" i="16"/>
  <c r="M26" i="16"/>
  <c r="N26" i="16"/>
  <c r="M27" i="16"/>
  <c r="N27" i="16"/>
  <c r="M28" i="16"/>
  <c r="N28" i="16"/>
  <c r="M3" i="16"/>
  <c r="N3" i="16"/>
  <c r="S25" i="16"/>
  <c r="S26" i="16"/>
  <c r="S27" i="16"/>
  <c r="S28" i="16"/>
  <c r="S24" i="16"/>
  <c r="S11" i="16"/>
  <c r="S12" i="16"/>
  <c r="S13" i="16"/>
  <c r="S14" i="16"/>
  <c r="S15" i="16"/>
  <c r="S17" i="16"/>
  <c r="S18" i="16"/>
  <c r="S19" i="16"/>
  <c r="S20" i="16"/>
  <c r="S21" i="16"/>
  <c r="S22" i="16"/>
  <c r="S23" i="16"/>
  <c r="S16" i="16"/>
  <c r="S4" i="16"/>
  <c r="S5" i="16"/>
  <c r="S6" i="16"/>
  <c r="S7" i="16"/>
  <c r="S8" i="16"/>
  <c r="S9" i="16"/>
  <c r="S10" i="16"/>
  <c r="S3" i="16"/>
  <c r="O30" i="6"/>
  <c r="N30" i="6"/>
  <c r="L30" i="6"/>
  <c r="K30" i="6"/>
  <c r="J30" i="6"/>
  <c r="I30" i="6"/>
  <c r="H30" i="6"/>
  <c r="M30" i="6"/>
  <c r="H36" i="22"/>
  <c r="V96" i="22"/>
  <c r="AM17" i="23"/>
</calcChain>
</file>

<file path=xl/sharedStrings.xml><?xml version="1.0" encoding="utf-8"?>
<sst xmlns="http://schemas.openxmlformats.org/spreadsheetml/2006/main" count="625" uniqueCount="171">
  <si>
    <t>Mouse ID</t>
  </si>
  <si>
    <t>I10</t>
  </si>
  <si>
    <t>I20</t>
  </si>
  <si>
    <t>I30</t>
  </si>
  <si>
    <t>I40</t>
  </si>
  <si>
    <t>I50</t>
  </si>
  <si>
    <t>I60</t>
  </si>
  <si>
    <t>Surgery Date</t>
  </si>
  <si>
    <t>Treatment</t>
  </si>
  <si>
    <t>Imaging date</t>
  </si>
  <si>
    <t>M2</t>
  </si>
  <si>
    <t>6mM</t>
  </si>
  <si>
    <t>10mM</t>
  </si>
  <si>
    <t>I75</t>
  </si>
  <si>
    <t>M3</t>
  </si>
  <si>
    <t>M1</t>
  </si>
  <si>
    <t>2mM</t>
  </si>
  <si>
    <t>Baseline SO2</t>
  </si>
  <si>
    <t>800 ms integration time</t>
  </si>
  <si>
    <t>NaN</t>
  </si>
  <si>
    <t>I2</t>
  </si>
  <si>
    <t>I5</t>
  </si>
  <si>
    <t>I1</t>
  </si>
  <si>
    <t>i30s</t>
  </si>
  <si>
    <t>NOTES</t>
  </si>
  <si>
    <t>D factor</t>
  </si>
  <si>
    <t>U factor</t>
  </si>
  <si>
    <t>THb</t>
  </si>
  <si>
    <t>I60/I max</t>
  </si>
  <si>
    <t>10 AVG</t>
  </si>
  <si>
    <t>STD DEV</t>
  </si>
  <si>
    <t>STD ERROR</t>
  </si>
  <si>
    <t>2 AVG</t>
  </si>
  <si>
    <t>6 AVG</t>
  </si>
  <si>
    <t>6 div 2</t>
  </si>
  <si>
    <t>10 div 2</t>
  </si>
  <si>
    <t>I75/I max</t>
  </si>
  <si>
    <t>Oxy Hb</t>
  </si>
  <si>
    <t>OUTLIER</t>
  </si>
  <si>
    <t>1/Tmax</t>
  </si>
  <si>
    <t>Rc (tumor)</t>
  </si>
  <si>
    <t>NBDG60/Rd</t>
  </si>
  <si>
    <t>Rd (tumor)</t>
  </si>
  <si>
    <t>no rhod cal, Naras's wc</t>
  </si>
  <si>
    <t>10 div 6</t>
  </si>
  <si>
    <t>Expected Ratio</t>
  </si>
  <si>
    <t>6mM / 2mM</t>
  </si>
  <si>
    <t>10mM / 2mM</t>
  </si>
  <si>
    <t>10mM / 6mM</t>
  </si>
  <si>
    <t>Tmax</t>
  </si>
  <si>
    <t>I60/Imax</t>
  </si>
  <si>
    <t>FILE:</t>
  </si>
  <si>
    <t>4t14t7 data.mat</t>
  </si>
  <si>
    <t>4T1</t>
  </si>
  <si>
    <t>4T07</t>
  </si>
  <si>
    <t>4T1 IH</t>
  </si>
  <si>
    <t>4T07 IH</t>
  </si>
  <si>
    <t>Mfac by pixel</t>
  </si>
  <si>
    <t>Rd</t>
  </si>
  <si>
    <t>i60/imax</t>
  </si>
  <si>
    <t>Naras</t>
  </si>
  <si>
    <t>Hb sat</t>
  </si>
  <si>
    <t>Blood Gluc</t>
  </si>
  <si>
    <t>Tmax min</t>
  </si>
  <si>
    <t>Tumor Size</t>
  </si>
  <si>
    <t>New I60/Imax</t>
  </si>
  <si>
    <t>New Tmax</t>
  </si>
  <si>
    <t>New Mfac</t>
  </si>
  <si>
    <t>New T min</t>
  </si>
  <si>
    <t>m1</t>
  </si>
  <si>
    <t>6mM DG</t>
  </si>
  <si>
    <t>m2</t>
  </si>
  <si>
    <t>6mM LG</t>
  </si>
  <si>
    <t xml:space="preserve">2mM </t>
  </si>
  <si>
    <t>NBDG/Rd (OLD)</t>
  </si>
  <si>
    <t>NBDG60/Rd, rdper pixel</t>
  </si>
  <si>
    <t>Rc/Rd</t>
  </si>
  <si>
    <t>Tmax (min)</t>
  </si>
  <si>
    <t>Rc</t>
  </si>
  <si>
    <t>I60*Rc/Rd</t>
  </si>
  <si>
    <t>I60 (1-Rc/Rd)</t>
  </si>
  <si>
    <t>Avg 30-60</t>
  </si>
  <si>
    <t>6MM ONLY</t>
  </si>
  <si>
    <t>2mM DG</t>
  </si>
  <si>
    <t>10mM DG</t>
  </si>
  <si>
    <t>I60/IT</t>
  </si>
  <si>
    <t>I max</t>
  </si>
  <si>
    <t>Ratio at T=5</t>
  </si>
  <si>
    <t>Ratio at T=60</t>
  </si>
  <si>
    <t>I05/rd</t>
  </si>
  <si>
    <t>RAW FLUORESCENCE DOSE CURVES</t>
  </si>
  <si>
    <t>ubtract image right before nbdg2</t>
  </si>
  <si>
    <t>Date</t>
  </si>
  <si>
    <t>Perturb</t>
  </si>
  <si>
    <t>Norm</t>
  </si>
  <si>
    <t>1H hyp</t>
  </si>
  <si>
    <t>m3</t>
  </si>
  <si>
    <t xml:space="preserve">SO2_roi </t>
  </si>
  <si>
    <t xml:space="preserve">THb_roi </t>
  </si>
  <si>
    <t xml:space="preserve">Flow_roi </t>
  </si>
  <si>
    <t>Rdvasc</t>
  </si>
  <si>
    <t>Rdtiss</t>
  </si>
  <si>
    <t>Paired T-test Result</t>
  </si>
  <si>
    <t>Flow</t>
  </si>
  <si>
    <t>SO2</t>
  </si>
  <si>
    <t>Tiss RD</t>
  </si>
  <si>
    <t>Vasc RD</t>
  </si>
  <si>
    <t>*One large ROI for each subject</t>
  </si>
  <si>
    <t>*Three small ROIs for each subject</t>
  </si>
  <si>
    <t>Mfac</t>
  </si>
  <si>
    <t>*Manually enter time_sec = 4</t>
  </si>
  <si>
    <t>*Manually enter time_sec = 6</t>
  </si>
  <si>
    <t>CORR flow</t>
  </si>
  <si>
    <t>Filename</t>
  </si>
  <si>
    <t>Frame rate used</t>
  </si>
  <si>
    <t>Actual FR</t>
  </si>
  <si>
    <t>Correction Fac</t>
  </si>
  <si>
    <t>Flow 6p6 8ms</t>
  </si>
  <si>
    <t>PostHypox 1 and 2</t>
  </si>
  <si>
    <t>Flow 7v 8ms</t>
  </si>
  <si>
    <t>Base6p6V8ms Base7V8ms</t>
  </si>
  <si>
    <t>Posthypox 6p6V 8ms</t>
  </si>
  <si>
    <t>Post8v5ms Post7v5ms</t>
  </si>
  <si>
    <t>Base 5ms</t>
  </si>
  <si>
    <t>Base 8ms</t>
  </si>
  <si>
    <t>Flow 5p6V 1 and 2</t>
  </si>
  <si>
    <t xml:space="preserve">baseline </t>
  </si>
  <si>
    <t>posthypox fluar 1 and 2</t>
  </si>
  <si>
    <t>baseline</t>
  </si>
  <si>
    <t>baseline 2</t>
  </si>
  <si>
    <t>posthypox</t>
  </si>
  <si>
    <t>posthypox 2</t>
  </si>
  <si>
    <t>baseline 5p2</t>
  </si>
  <si>
    <t>baseline 5v</t>
  </si>
  <si>
    <t>baseline 5ms</t>
  </si>
  <si>
    <t>baseline 2ms</t>
  </si>
  <si>
    <t>baseline 1 and 2</t>
  </si>
  <si>
    <t>baseline 2ms new focus</t>
  </si>
  <si>
    <t>baseline 5ms new focus</t>
  </si>
  <si>
    <t>posthypox 2ms new foc</t>
  </si>
  <si>
    <t>posthypox 5ms new foc</t>
  </si>
  <si>
    <t>baseline 1</t>
  </si>
  <si>
    <t>baseline 2 and 3</t>
  </si>
  <si>
    <t>posthypox 1</t>
  </si>
  <si>
    <t>Base7v 5ms</t>
  </si>
  <si>
    <t>Corr Flow</t>
  </si>
  <si>
    <t>*</t>
  </si>
  <si>
    <t>dummy = double(vasc_rd_img).*m1_tumormask_rd;</t>
  </si>
  <si>
    <t>RDvasc_roi = mean(dummy(dummy(:)&gt;50));</t>
  </si>
  <si>
    <t>dummy = (tiss_rd_img).*m1_tumormask_rd;</t>
  </si>
  <si>
    <t>RDtiss_roi = mean(dummy(dummy(:)&gt;2));</t>
  </si>
  <si>
    <t>dummy = (mfac_img).*m1_tumormask_rd;</t>
  </si>
  <si>
    <t>mfac_roi = mean(dummy(dummy(:)&gt;50));</t>
  </si>
  <si>
    <t>*Had to specially Filter to exclude shifted vasc. Pixels</t>
  </si>
  <si>
    <t>RDvasc_roi = mean(dummy(dummy(:)&gt;150));</t>
  </si>
  <si>
    <t>RDtiss_roi = mean(dummy(dummy(:)&gt;10));</t>
  </si>
  <si>
    <t>BG</t>
  </si>
  <si>
    <t>Flow correction factors are needed to correct for differences between the actual camera frame rate and "frame rate" parameter specified when using the flow mapping algorithm.</t>
  </si>
  <si>
    <t>Time after injection</t>
  </si>
  <si>
    <t>T-tests:</t>
  </si>
  <si>
    <t>time after injection</t>
  </si>
  <si>
    <t>AVG</t>
  </si>
  <si>
    <t>i60/bg</t>
  </si>
  <si>
    <t>Subtract image right before nbdg2</t>
  </si>
  <si>
    <t>New System</t>
  </si>
  <si>
    <t>Mice with repeated measures</t>
  </si>
  <si>
    <t>NBDG</t>
  </si>
  <si>
    <t>RD</t>
  </si>
  <si>
    <t>NBDG/RD</t>
  </si>
  <si>
    <t>I40/RD</t>
  </si>
  <si>
    <t>Fold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</si>
</sst>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</font>
    <font>
      <b/>
      <sz val="11"/>
      <name val="Calibri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2" xfId="0" applyBorder="1"/>
    <xf numFmtId="1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left" vertical="center" wrapText="1" readingOrder="1"/>
    </xf>
    <xf numFmtId="16" fontId="0" fillId="0" borderId="0" xfId="0" applyNumberFormat="1" applyFill="1" applyBorder="1" applyAlignment="1">
      <alignment horizontal="left"/>
    </xf>
    <xf numFmtId="16" fontId="1" fillId="0" borderId="0" xfId="0" applyNumberFormat="1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 vertical="center" wrapText="1" readingOrder="1"/>
    </xf>
    <xf numFmtId="16" fontId="0" fillId="0" borderId="0" xfId="0" applyNumberFormat="1" applyBorder="1" applyAlignment="1">
      <alignment horizontal="left"/>
    </xf>
    <xf numFmtId="16" fontId="3" fillId="0" borderId="0" xfId="0" applyNumberFormat="1" applyFont="1" applyFill="1" applyBorder="1" applyAlignment="1">
      <alignment horizontal="left"/>
    </xf>
    <xf numFmtId="0" fontId="0" fillId="0" borderId="0" xfId="0" applyBorder="1"/>
    <xf numFmtId="2" fontId="0" fillId="0" borderId="0" xfId="0" applyNumberForma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6" fontId="0" fillId="0" borderId="3" xfId="0" applyNumberFormat="1" applyFill="1" applyBorder="1" applyAlignment="1">
      <alignment horizontal="left"/>
    </xf>
    <xf numFmtId="16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 readingOrder="1"/>
    </xf>
    <xf numFmtId="0" fontId="2" fillId="0" borderId="3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0" fillId="0" borderId="1" xfId="0" applyBorder="1"/>
    <xf numFmtId="0" fontId="12" fillId="3" borderId="1" xfId="0" applyFont="1" applyFill="1" applyBorder="1"/>
    <xf numFmtId="0" fontId="12" fillId="3" borderId="0" xfId="0" applyFont="1" applyFill="1"/>
    <xf numFmtId="0" fontId="0" fillId="4" borderId="0" xfId="0" applyFill="1" applyBorder="1"/>
    <xf numFmtId="0" fontId="6" fillId="0" borderId="0" xfId="0" applyFont="1" applyAlignment="1">
      <alignment horizontal="left"/>
    </xf>
    <xf numFmtId="1" fontId="0" fillId="0" borderId="0" xfId="0" applyNumberFormat="1" applyBorder="1" applyAlignment="1">
      <alignment horizontal="left"/>
    </xf>
    <xf numFmtId="0" fontId="12" fillId="3" borderId="2" xfId="0" applyFont="1" applyFill="1" applyBorder="1"/>
    <xf numFmtId="0" fontId="5" fillId="6" borderId="0" xfId="0" applyFont="1" applyFill="1" applyBorder="1" applyAlignment="1">
      <alignment horizontal="left" vertical="center" wrapText="1" readingOrder="1"/>
    </xf>
    <xf numFmtId="0" fontId="5" fillId="6" borderId="0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  <xf numFmtId="0" fontId="0" fillId="0" borderId="0" xfId="0" applyFill="1" applyBorder="1"/>
    <xf numFmtId="16" fontId="0" fillId="0" borderId="0" xfId="0" applyNumberFormat="1" applyFill="1" applyBorder="1"/>
    <xf numFmtId="0" fontId="10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5" fillId="6" borderId="0" xfId="0" applyNumberFormat="1" applyFont="1" applyFill="1" applyBorder="1" applyAlignment="1">
      <alignment horizontal="left"/>
    </xf>
    <xf numFmtId="0" fontId="12" fillId="3" borderId="0" xfId="0" applyFont="1" applyFill="1" applyBorder="1"/>
    <xf numFmtId="0" fontId="0" fillId="7" borderId="0" xfId="0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2" fontId="14" fillId="0" borderId="5" xfId="0" applyNumberFormat="1" applyFont="1" applyBorder="1" applyAlignment="1">
      <alignment horizontal="left"/>
    </xf>
    <xf numFmtId="2" fontId="14" fillId="0" borderId="10" xfId="0" applyNumberFormat="1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2" fontId="14" fillId="0" borderId="7" xfId="0" applyNumberFormat="1" applyFont="1" applyBorder="1" applyAlignment="1">
      <alignment horizontal="left"/>
    </xf>
    <xf numFmtId="2" fontId="14" fillId="0" borderId="11" xfId="0" applyNumberFormat="1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2" fontId="14" fillId="0" borderId="8" xfId="0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2" fontId="0" fillId="0" borderId="13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11" fontId="3" fillId="0" borderId="0" xfId="0" applyNumberFormat="1" applyFont="1" applyFill="1" applyBorder="1" applyAlignment="1">
      <alignment horizontal="left"/>
    </xf>
    <xf numFmtId="16" fontId="0" fillId="0" borderId="0" xfId="0" applyNumberFormat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16" fontId="0" fillId="0" borderId="7" xfId="0" applyNumberFormat="1" applyFill="1" applyBorder="1"/>
    <xf numFmtId="0" fontId="0" fillId="0" borderId="17" xfId="0" applyFill="1" applyBorder="1"/>
    <xf numFmtId="0" fontId="0" fillId="0" borderId="7" xfId="0" applyFill="1" applyBorder="1"/>
    <xf numFmtId="0" fontId="0" fillId="0" borderId="18" xfId="0" applyFill="1" applyBorder="1"/>
    <xf numFmtId="0" fontId="6" fillId="0" borderId="4" xfId="0" applyFont="1" applyFill="1" applyBorder="1"/>
    <xf numFmtId="16" fontId="0" fillId="0" borderId="0" xfId="0" applyNumberFormat="1" applyFill="1"/>
    <xf numFmtId="0" fontId="0" fillId="0" borderId="9" xfId="0" applyBorder="1"/>
    <xf numFmtId="16" fontId="0" fillId="0" borderId="9" xfId="0" applyNumberFormat="1" applyBorder="1"/>
    <xf numFmtId="0" fontId="0" fillId="0" borderId="9" xfId="0" applyFill="1" applyBorder="1"/>
    <xf numFmtId="0" fontId="0" fillId="4" borderId="9" xfId="0" applyFill="1" applyBorder="1"/>
    <xf numFmtId="16" fontId="0" fillId="0" borderId="9" xfId="0" applyNumberFormat="1" applyFill="1" applyBorder="1"/>
    <xf numFmtId="0" fontId="3" fillId="0" borderId="0" xfId="0" applyFont="1" applyFill="1"/>
    <xf numFmtId="16" fontId="0" fillId="0" borderId="8" xfId="0" applyNumberFormat="1" applyFill="1" applyBorder="1"/>
    <xf numFmtId="0" fontId="6" fillId="0" borderId="0" xfId="0" applyFont="1" applyFill="1" applyBorder="1"/>
    <xf numFmtId="0" fontId="6" fillId="0" borderId="3" xfId="0" applyFont="1" applyBorder="1" applyAlignment="1">
      <alignment horizontal="left"/>
    </xf>
    <xf numFmtId="0" fontId="0" fillId="0" borderId="4" xfId="0" applyFill="1" applyBorder="1"/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1" fillId="0" borderId="0" xfId="0" applyFont="1" applyFill="1" applyBorder="1"/>
    <xf numFmtId="0" fontId="3" fillId="0" borderId="8" xfId="0" applyFont="1" applyFill="1" applyBorder="1"/>
    <xf numFmtId="0" fontId="3" fillId="0" borderId="4" xfId="0" applyFont="1" applyFill="1" applyBorder="1"/>
    <xf numFmtId="0" fontId="3" fillId="0" borderId="18" xfId="0" applyFont="1" applyFill="1" applyBorder="1"/>
    <xf numFmtId="0" fontId="3" fillId="0" borderId="0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6" fillId="0" borderId="6" xfId="0" applyFont="1" applyFill="1" applyBorder="1"/>
    <xf numFmtId="0" fontId="0" fillId="0" borderId="19" xfId="0" applyFont="1" applyFill="1" applyBorder="1"/>
    <xf numFmtId="0" fontId="0" fillId="0" borderId="7" xfId="0" applyFont="1" applyFill="1" applyBorder="1"/>
    <xf numFmtId="0" fontId="0" fillId="0" borderId="0" xfId="0" applyFont="1" applyFill="1" applyBorder="1"/>
    <xf numFmtId="0" fontId="0" fillId="0" borderId="17" xfId="0" applyFont="1" applyFill="1" applyBorder="1"/>
    <xf numFmtId="11" fontId="6" fillId="0" borderId="0" xfId="0" applyNumberFormat="1" applyFont="1" applyFill="1" applyBorder="1"/>
    <xf numFmtId="11" fontId="0" fillId="0" borderId="0" xfId="0" applyNumberFormat="1" applyFont="1" applyFill="1" applyBorder="1"/>
    <xf numFmtId="0" fontId="0" fillId="0" borderId="8" xfId="0" applyFont="1" applyFill="1" applyBorder="1"/>
    <xf numFmtId="0" fontId="0" fillId="0" borderId="4" xfId="0" applyFont="1" applyFill="1" applyBorder="1"/>
    <xf numFmtId="0" fontId="0" fillId="0" borderId="18" xfId="0" applyFont="1" applyFill="1" applyBorder="1"/>
    <xf numFmtId="11" fontId="0" fillId="0" borderId="0" xfId="0" applyNumberFormat="1" applyFill="1"/>
    <xf numFmtId="0" fontId="0" fillId="0" borderId="20" xfId="0" applyBorder="1"/>
    <xf numFmtId="16" fontId="3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left" vertical="center" wrapText="1" readingOrder="1"/>
    </xf>
    <xf numFmtId="2" fontId="3" fillId="0" borderId="0" xfId="0" applyNumberFormat="1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/>
    </xf>
    <xf numFmtId="16" fontId="3" fillId="0" borderId="13" xfId="0" applyNumberFormat="1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left"/>
    </xf>
    <xf numFmtId="11" fontId="3" fillId="0" borderId="3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16" fontId="0" fillId="0" borderId="3" xfId="0" applyNumberFormat="1" applyFill="1" applyBorder="1"/>
    <xf numFmtId="0" fontId="0" fillId="0" borderId="3" xfId="0" applyFill="1" applyBorder="1"/>
    <xf numFmtId="0" fontId="5" fillId="0" borderId="9" xfId="0" applyFont="1" applyFill="1" applyBorder="1" applyAlignment="1">
      <alignment horizontal="left" vertical="center" wrapText="1" readingOrder="1"/>
    </xf>
    <xf numFmtId="0" fontId="5" fillId="0" borderId="9" xfId="0" applyFont="1" applyFill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6" fillId="0" borderId="9" xfId="0" applyFont="1" applyFill="1" applyBorder="1"/>
    <xf numFmtId="0" fontId="6" fillId="7" borderId="9" xfId="0" applyFont="1" applyFill="1" applyBorder="1"/>
    <xf numFmtId="0" fontId="0" fillId="2" borderId="0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6" borderId="4" xfId="0" applyFont="1" applyFill="1" applyBorder="1" applyAlignment="1">
      <alignment horizontal="left" vertical="center" wrapText="1" readingOrder="1"/>
    </xf>
    <xf numFmtId="0" fontId="5" fillId="6" borderId="4" xfId="0" applyFont="1" applyFill="1" applyBorder="1" applyAlignment="1">
      <alignment horizontal="left"/>
    </xf>
    <xf numFmtId="0" fontId="5" fillId="6" borderId="4" xfId="0" applyNumberFormat="1" applyFont="1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11" fontId="3" fillId="8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 vertical="center" wrapText="1" readingOrder="1"/>
    </xf>
    <xf numFmtId="1" fontId="3" fillId="9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0" borderId="9" xfId="0" applyFont="1" applyFill="1" applyBorder="1" applyAlignment="1">
      <alignment horizontal="left"/>
    </xf>
    <xf numFmtId="2" fontId="0" fillId="0" borderId="9" xfId="0" applyNumberFormat="1" applyFont="1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8" borderId="9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0" fontId="0" fillId="9" borderId="9" xfId="0" applyFill="1" applyBorder="1"/>
    <xf numFmtId="11" fontId="3" fillId="8" borderId="9" xfId="0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16" fontId="1" fillId="0" borderId="0" xfId="0" applyNumberFormat="1" applyFont="1" applyFill="1" applyBorder="1"/>
    <xf numFmtId="0" fontId="3" fillId="0" borderId="0" xfId="0" applyFont="1" applyBorder="1"/>
    <xf numFmtId="0" fontId="0" fillId="0" borderId="0" xfId="0" applyNumberFormat="1"/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10" borderId="0" xfId="0" applyFill="1" applyBorder="1" applyAlignment="1">
      <alignment horizontal="left"/>
    </xf>
    <xf numFmtId="11" fontId="0" fillId="9" borderId="0" xfId="0" applyNumberFormat="1" applyFill="1" applyBorder="1" applyAlignment="1">
      <alignment horizontal="left"/>
    </xf>
    <xf numFmtId="16" fontId="2" fillId="0" borderId="0" xfId="0" applyNumberFormat="1" applyFont="1" applyFill="1" applyBorder="1" applyAlignment="1">
      <alignment horizontal="left" vertical="center" wrapText="1" readingOrder="1"/>
    </xf>
    <xf numFmtId="16" fontId="0" fillId="0" borderId="4" xfId="0" applyNumberForma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6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8" borderId="4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16" fontId="0" fillId="11" borderId="0" xfId="0" applyNumberFormat="1" applyFill="1" applyBorder="1" applyAlignment="1">
      <alignment horizontal="left"/>
    </xf>
    <xf numFmtId="0" fontId="0" fillId="11" borderId="0" xfId="0" applyFill="1" applyBorder="1"/>
    <xf numFmtId="0" fontId="0" fillId="11" borderId="0" xfId="0" applyNumberFormat="1" applyFont="1" applyFill="1" applyBorder="1" applyAlignment="1">
      <alignment horizontal="left"/>
    </xf>
    <xf numFmtId="16" fontId="0" fillId="12" borderId="0" xfId="0" applyNumberFormat="1" applyFill="1" applyBorder="1" applyAlignment="1">
      <alignment horizontal="left"/>
    </xf>
    <xf numFmtId="0" fontId="0" fillId="12" borderId="0" xfId="0" applyFill="1" applyBorder="1"/>
    <xf numFmtId="0" fontId="0" fillId="12" borderId="0" xfId="0" applyNumberFormat="1" applyFont="1" applyFill="1" applyBorder="1" applyAlignment="1">
      <alignment horizontal="left"/>
    </xf>
    <xf numFmtId="16" fontId="0" fillId="10" borderId="0" xfId="0" applyNumberForma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6" fontId="0" fillId="4" borderId="0" xfId="0" applyNumberFormat="1" applyFont="1" applyFill="1" applyBorder="1" applyAlignment="1">
      <alignment horizontal="left"/>
    </xf>
    <xf numFmtId="16" fontId="3" fillId="13" borderId="7" xfId="0" applyNumberFormat="1" applyFont="1" applyFill="1" applyBorder="1" applyAlignment="1">
      <alignment horizontal="left"/>
    </xf>
    <xf numFmtId="0" fontId="2" fillId="13" borderId="0" xfId="0" applyFont="1" applyFill="1" applyBorder="1" applyAlignment="1">
      <alignment horizontal="left" vertical="center" wrapText="1" readingOrder="1"/>
    </xf>
    <xf numFmtId="0" fontId="0" fillId="13" borderId="0" xfId="0" applyFont="1" applyFill="1" applyBorder="1" applyAlignment="1">
      <alignment horizontal="left"/>
    </xf>
    <xf numFmtId="16" fontId="0" fillId="13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14" borderId="0" xfId="0" applyFont="1" applyFill="1" applyAlignment="1">
      <alignment horizontal="left"/>
    </xf>
    <xf numFmtId="0" fontId="6" fillId="14" borderId="0" xfId="0" applyFont="1" applyFill="1" applyBorder="1" applyAlignment="1">
      <alignment horizontal="left"/>
    </xf>
    <xf numFmtId="16" fontId="6" fillId="14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16" fontId="15" fillId="0" borderId="0" xfId="0" applyNumberFormat="1" applyFont="1" applyFill="1" applyBorder="1"/>
    <xf numFmtId="16" fontId="6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left"/>
    </xf>
    <xf numFmtId="11" fontId="0" fillId="0" borderId="0" xfId="0" applyNumberFormat="1" applyFill="1" applyBorder="1" applyAlignment="1">
      <alignment horizontal="left"/>
    </xf>
    <xf numFmtId="16" fontId="6" fillId="0" borderId="9" xfId="0" applyNumberFormat="1" applyFont="1" applyFill="1" applyBorder="1" applyAlignment="1">
      <alignment horizontal="left"/>
    </xf>
    <xf numFmtId="0" fontId="6" fillId="15" borderId="9" xfId="0" applyFont="1" applyFill="1" applyBorder="1" applyAlignment="1">
      <alignment horizontal="left"/>
    </xf>
    <xf numFmtId="16" fontId="6" fillId="15" borderId="9" xfId="0" applyNumberFormat="1" applyFont="1" applyFill="1" applyBorder="1" applyAlignment="1">
      <alignment horizontal="left"/>
    </xf>
    <xf numFmtId="0" fontId="6" fillId="15" borderId="9" xfId="0" applyNumberFormat="1" applyFont="1" applyFill="1" applyBorder="1" applyAlignment="1">
      <alignment horizontal="left"/>
    </xf>
    <xf numFmtId="2" fontId="6" fillId="15" borderId="9" xfId="0" applyNumberFormat="1" applyFont="1" applyFill="1" applyBorder="1" applyAlignment="1">
      <alignment horizontal="left"/>
    </xf>
    <xf numFmtId="2" fontId="6" fillId="0" borderId="9" xfId="0" applyNumberFormat="1" applyFont="1" applyFill="1" applyBorder="1" applyAlignment="1">
      <alignment horizontal="left"/>
    </xf>
    <xf numFmtId="0" fontId="6" fillId="15" borderId="9" xfId="0" applyFont="1" applyFill="1" applyBorder="1" applyAlignment="1">
      <alignment horizontal="left" readingOrder="1"/>
    </xf>
    <xf numFmtId="0" fontId="6" fillId="4" borderId="9" xfId="0" applyFont="1" applyFill="1" applyBorder="1" applyAlignment="1">
      <alignment horizontal="left" readingOrder="1"/>
    </xf>
    <xf numFmtId="0" fontId="17" fillId="15" borderId="9" xfId="0" applyFont="1" applyFill="1" applyBorder="1" applyAlignment="1">
      <alignment horizontal="left" vertical="center" wrapText="1" readingOrder="1"/>
    </xf>
    <xf numFmtId="0" fontId="6" fillId="15" borderId="0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15" fillId="8" borderId="9" xfId="0" applyFont="1" applyFill="1" applyBorder="1" applyAlignment="1">
      <alignment horizontal="left"/>
    </xf>
    <xf numFmtId="1" fontId="15" fillId="9" borderId="9" xfId="0" applyNumberFormat="1" applyFont="1" applyFill="1" applyBorder="1" applyAlignment="1">
      <alignment horizontal="left"/>
    </xf>
    <xf numFmtId="11" fontId="15" fillId="8" borderId="9" xfId="0" applyNumberFormat="1" applyFont="1" applyFill="1" applyBorder="1" applyAlignment="1">
      <alignment horizontal="left"/>
    </xf>
    <xf numFmtId="16" fontId="3" fillId="11" borderId="0" xfId="0" applyNumberFormat="1" applyFont="1" applyFill="1" applyBorder="1"/>
    <xf numFmtId="0" fontId="0" fillId="8" borderId="0" xfId="0" applyFill="1" applyBorder="1"/>
    <xf numFmtId="0" fontId="0" fillId="8" borderId="0" xfId="0" applyNumberFormat="1" applyFont="1" applyFill="1" applyBorder="1" applyAlignment="1">
      <alignment horizontal="left"/>
    </xf>
    <xf numFmtId="16" fontId="0" fillId="8" borderId="0" xfId="0" applyNumberFormat="1" applyFill="1" applyBorder="1" applyAlignment="1">
      <alignment horizontal="left"/>
    </xf>
    <xf numFmtId="0" fontId="0" fillId="8" borderId="0" xfId="0" applyFill="1" applyAlignment="1">
      <alignment horizontal="left"/>
    </xf>
    <xf numFmtId="11" fontId="0" fillId="8" borderId="21" xfId="0" applyNumberFormat="1" applyFill="1" applyBorder="1" applyAlignment="1">
      <alignment horizontal="left"/>
    </xf>
    <xf numFmtId="16" fontId="3" fillId="11" borderId="0" xfId="0" applyNumberFormat="1" applyFont="1" applyFill="1" applyBorder="1" applyAlignment="1">
      <alignment horizontal="left"/>
    </xf>
    <xf numFmtId="11" fontId="0" fillId="8" borderId="0" xfId="0" applyNumberForma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16" fontId="3" fillId="12" borderId="0" xfId="0" applyNumberFormat="1" applyFont="1" applyFill="1" applyBorder="1"/>
    <xf numFmtId="16" fontId="3" fillId="12" borderId="4" xfId="0" applyNumberFormat="1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16" fontId="0" fillId="8" borderId="4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1" fontId="0" fillId="8" borderId="4" xfId="0" applyNumberFormat="1" applyFill="1" applyBorder="1" applyAlignment="1">
      <alignment horizontal="left"/>
    </xf>
    <xf numFmtId="16" fontId="3" fillId="10" borderId="7" xfId="0" applyNumberFormat="1" applyFont="1" applyFill="1" applyBorder="1" applyAlignment="1">
      <alignment horizontal="left"/>
    </xf>
    <xf numFmtId="0" fontId="0" fillId="9" borderId="0" xfId="0" applyFill="1" applyBorder="1" applyAlignment="1">
      <alignment horizontal="left"/>
    </xf>
    <xf numFmtId="16" fontId="3" fillId="10" borderId="0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" fontId="3" fillId="4" borderId="7" xfId="0" applyNumberFormat="1" applyFont="1" applyFill="1" applyBorder="1" applyAlignment="1">
      <alignment horizontal="left" vertical="center" wrapText="1" readingOrder="1"/>
    </xf>
    <xf numFmtId="2" fontId="1" fillId="0" borderId="0" xfId="0" applyNumberFormat="1" applyFont="1" applyFill="1" applyBorder="1" applyAlignment="1">
      <alignment horizontal="left" vertical="center" wrapText="1" readingOrder="1"/>
    </xf>
    <xf numFmtId="16" fontId="3" fillId="4" borderId="9" xfId="0" applyNumberFormat="1" applyFont="1" applyFill="1" applyBorder="1" applyAlignment="1">
      <alignment horizontal="left" vertical="center" wrapText="1" readingOrder="1"/>
    </xf>
    <xf numFmtId="0" fontId="2" fillId="0" borderId="9" xfId="0" applyFont="1" applyFill="1" applyBorder="1" applyAlignment="1">
      <alignment horizontal="left" vertical="center" wrapText="1" readingOrder="1"/>
    </xf>
    <xf numFmtId="16" fontId="0" fillId="0" borderId="9" xfId="0" applyNumberFormat="1" applyFont="1" applyFill="1" applyBorder="1" applyAlignment="1">
      <alignment horizontal="left"/>
    </xf>
    <xf numFmtId="0" fontId="0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 vertical="center" wrapText="1" readingOrder="1"/>
    </xf>
    <xf numFmtId="1" fontId="3" fillId="9" borderId="9" xfId="0" applyNumberFormat="1" applyFon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16" fontId="3" fillId="14" borderId="5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16" fontId="0" fillId="0" borderId="6" xfId="0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 readingOrder="1"/>
    </xf>
    <xf numFmtId="0" fontId="0" fillId="0" borderId="6" xfId="0" applyFill="1" applyBorder="1" applyAlignment="1">
      <alignment horizontal="left"/>
    </xf>
    <xf numFmtId="16" fontId="3" fillId="14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readingOrder="1"/>
    </xf>
    <xf numFmtId="16" fontId="3" fillId="13" borderId="0" xfId="0" applyNumberFormat="1" applyFont="1" applyFill="1" applyBorder="1" applyAlignment="1">
      <alignment horizontal="left" vertical="center" wrapText="1" readingOrder="1"/>
    </xf>
    <xf numFmtId="0" fontId="0" fillId="15" borderId="0" xfId="0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readingOrder="1"/>
    </xf>
    <xf numFmtId="2" fontId="1" fillId="0" borderId="9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 readingOrder="1"/>
    </xf>
    <xf numFmtId="1" fontId="3" fillId="0" borderId="9" xfId="0" applyNumberFormat="1" applyFont="1" applyFill="1" applyBorder="1" applyAlignment="1">
      <alignment horizontal="left"/>
    </xf>
    <xf numFmtId="11" fontId="3" fillId="0" borderId="9" xfId="0" applyNumberFormat="1" applyFont="1" applyFill="1" applyBorder="1" applyAlignment="1">
      <alignment horizontal="left"/>
    </xf>
    <xf numFmtId="11" fontId="0" fillId="0" borderId="9" xfId="0" applyNumberForma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14" fillId="0" borderId="22" xfId="0" applyFont="1" applyBorder="1" applyAlignment="1">
      <alignment horizontal="left"/>
    </xf>
    <xf numFmtId="2" fontId="14" fillId="0" borderId="23" xfId="0" applyNumberFormat="1" applyFont="1" applyBorder="1" applyAlignment="1">
      <alignment horizontal="left"/>
    </xf>
    <xf numFmtId="2" fontId="14" fillId="0" borderId="24" xfId="0" applyNumberFormat="1" applyFont="1" applyBorder="1" applyAlignment="1">
      <alignment horizontal="left"/>
    </xf>
  </cellXfs>
  <cellStyles count="5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17760279965"/>
          <c:y val="0.0695162903600757"/>
          <c:w val="0.805613985751781"/>
          <c:h val="0.790669447332185"/>
        </c:manualLayout>
      </c:layout>
      <c:scatterChart>
        <c:scatterStyle val="lineMarker"/>
        <c:varyColors val="0"/>
        <c:ser>
          <c:idx val="1"/>
          <c:order val="0"/>
          <c:tx>
            <c:v>6mM 2-NBDG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'Norm Dose (2)'!$I$28:$T$28</c:f>
                <c:numCache>
                  <c:formatCode>General</c:formatCode>
                  <c:ptCount val="12"/>
                  <c:pt idx="0">
                    <c:v>0.0</c:v>
                  </c:pt>
                  <c:pt idx="1">
                    <c:v>224.0300982744806</c:v>
                  </c:pt>
                  <c:pt idx="2">
                    <c:v>235.888652782934</c:v>
                  </c:pt>
                  <c:pt idx="3">
                    <c:v>258.9899784803477</c:v>
                  </c:pt>
                  <c:pt idx="4">
                    <c:v>235.356990400543</c:v>
                  </c:pt>
                  <c:pt idx="5">
                    <c:v>191.2266360927171</c:v>
                  </c:pt>
                  <c:pt idx="6">
                    <c:v>128.480301662124</c:v>
                  </c:pt>
                  <c:pt idx="7">
                    <c:v>93.94613455684074</c:v>
                  </c:pt>
                  <c:pt idx="8">
                    <c:v>66.31957919106873</c:v>
                  </c:pt>
                  <c:pt idx="9">
                    <c:v>49.57258176645523</c:v>
                  </c:pt>
                  <c:pt idx="10">
                    <c:v>32.20061040483362</c:v>
                  </c:pt>
                  <c:pt idx="11">
                    <c:v>24.41480529476782</c:v>
                  </c:pt>
                </c:numCache>
              </c:numRef>
            </c:plus>
            <c:minus>
              <c:numRef>
                <c:f>'Norm Dose (2)'!$I$28:$T$28</c:f>
                <c:numCache>
                  <c:formatCode>General</c:formatCode>
                  <c:ptCount val="12"/>
                  <c:pt idx="0">
                    <c:v>0.0</c:v>
                  </c:pt>
                  <c:pt idx="1">
                    <c:v>224.0300982744806</c:v>
                  </c:pt>
                  <c:pt idx="2">
                    <c:v>235.888652782934</c:v>
                  </c:pt>
                  <c:pt idx="3">
                    <c:v>258.9899784803477</c:v>
                  </c:pt>
                  <c:pt idx="4">
                    <c:v>235.356990400543</c:v>
                  </c:pt>
                  <c:pt idx="5">
                    <c:v>191.2266360927171</c:v>
                  </c:pt>
                  <c:pt idx="6">
                    <c:v>128.480301662124</c:v>
                  </c:pt>
                  <c:pt idx="7">
                    <c:v>93.94613455684074</c:v>
                  </c:pt>
                  <c:pt idx="8">
                    <c:v>66.31957919106873</c:v>
                  </c:pt>
                  <c:pt idx="9">
                    <c:v>49.57258176645523</c:v>
                  </c:pt>
                  <c:pt idx="10">
                    <c:v>32.20061040483362</c:v>
                  </c:pt>
                  <c:pt idx="11">
                    <c:v>24.41480529476782</c:v>
                  </c:pt>
                </c:numCache>
              </c:numRef>
            </c:minus>
          </c:errBars>
          <c:xVal>
            <c:numRef>
              <c:f>'Norm Dose (2)'!$I$24:$S$24</c:f>
              <c:numCache>
                <c:formatCode>General</c:formatCode>
                <c:ptCount val="1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5.0</c:v>
                </c:pt>
                <c:pt idx="5">
                  <c:v>10.0</c:v>
                </c:pt>
                <c:pt idx="6">
                  <c:v>20.0</c:v>
                </c:pt>
                <c:pt idx="7">
                  <c:v>30.0</c:v>
                </c:pt>
                <c:pt idx="8">
                  <c:v>40.0</c:v>
                </c:pt>
                <c:pt idx="9">
                  <c:v>50.0</c:v>
                </c:pt>
                <c:pt idx="10">
                  <c:v>60.0</c:v>
                </c:pt>
              </c:numCache>
            </c:numRef>
          </c:xVal>
          <c:yVal>
            <c:numRef>
              <c:f>'Norm Dose (2)'!$I$26:$S$26</c:f>
              <c:numCache>
                <c:formatCode>General</c:formatCode>
                <c:ptCount val="11"/>
                <c:pt idx="0">
                  <c:v>0.0</c:v>
                </c:pt>
                <c:pt idx="1">
                  <c:v>581.6489215257362</c:v>
                </c:pt>
                <c:pt idx="2">
                  <c:v>713.801455701373</c:v>
                </c:pt>
                <c:pt idx="3">
                  <c:v>813.2525935000577</c:v>
                </c:pt>
                <c:pt idx="4">
                  <c:v>883.369237749802</c:v>
                </c:pt>
                <c:pt idx="5">
                  <c:v>757.5133497870684</c:v>
                </c:pt>
                <c:pt idx="6">
                  <c:v>453.4194388165553</c:v>
                </c:pt>
                <c:pt idx="7">
                  <c:v>283.2373950600509</c:v>
                </c:pt>
                <c:pt idx="8">
                  <c:v>191.5035869277808</c:v>
                </c:pt>
                <c:pt idx="9">
                  <c:v>139.0750124942395</c:v>
                </c:pt>
                <c:pt idx="10">
                  <c:v>103.0669659334999</c:v>
                </c:pt>
              </c:numCache>
            </c:numRef>
          </c:yVal>
          <c:smooth val="0"/>
        </c:ser>
        <c:ser>
          <c:idx val="2"/>
          <c:order val="1"/>
          <c:tx>
            <c:v>10mM 2-NBDG</c:v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'Norm Dose (2)'!$I$32:$T$32</c:f>
                <c:numCache>
                  <c:formatCode>General</c:formatCode>
                  <c:ptCount val="12"/>
                  <c:pt idx="0">
                    <c:v>0.0</c:v>
                  </c:pt>
                  <c:pt idx="1">
                    <c:v>175.510064150106</c:v>
                  </c:pt>
                  <c:pt idx="2">
                    <c:v>204.9577831946485</c:v>
                  </c:pt>
                  <c:pt idx="3">
                    <c:v>242.490894890911</c:v>
                  </c:pt>
                  <c:pt idx="4">
                    <c:v>230.6443506075651</c:v>
                  </c:pt>
                  <c:pt idx="5">
                    <c:v>217.3478803537777</c:v>
                  </c:pt>
                  <c:pt idx="6">
                    <c:v>193.7298375574247</c:v>
                  </c:pt>
                  <c:pt idx="7">
                    <c:v>171.885078784914</c:v>
                  </c:pt>
                  <c:pt idx="8">
                    <c:v>141.6191323818007</c:v>
                  </c:pt>
                  <c:pt idx="9">
                    <c:v>75.36489277604444</c:v>
                  </c:pt>
                  <c:pt idx="10">
                    <c:v>64.83587706583117</c:v>
                  </c:pt>
                  <c:pt idx="11">
                    <c:v>24.94170270840673</c:v>
                  </c:pt>
                </c:numCache>
              </c:numRef>
            </c:plus>
            <c:minus>
              <c:numRef>
                <c:f>'Norm Dose (2)'!$I$32:$T$32</c:f>
                <c:numCache>
                  <c:formatCode>General</c:formatCode>
                  <c:ptCount val="12"/>
                  <c:pt idx="0">
                    <c:v>0.0</c:v>
                  </c:pt>
                  <c:pt idx="1">
                    <c:v>175.510064150106</c:v>
                  </c:pt>
                  <c:pt idx="2">
                    <c:v>204.9577831946485</c:v>
                  </c:pt>
                  <c:pt idx="3">
                    <c:v>242.490894890911</c:v>
                  </c:pt>
                  <c:pt idx="4">
                    <c:v>230.6443506075651</c:v>
                  </c:pt>
                  <c:pt idx="5">
                    <c:v>217.3478803537777</c:v>
                  </c:pt>
                  <c:pt idx="6">
                    <c:v>193.7298375574247</c:v>
                  </c:pt>
                  <c:pt idx="7">
                    <c:v>171.885078784914</c:v>
                  </c:pt>
                  <c:pt idx="8">
                    <c:v>141.6191323818007</c:v>
                  </c:pt>
                  <c:pt idx="9">
                    <c:v>75.36489277604444</c:v>
                  </c:pt>
                  <c:pt idx="10">
                    <c:v>64.83587706583117</c:v>
                  </c:pt>
                  <c:pt idx="11">
                    <c:v>24.94170270840673</c:v>
                  </c:pt>
                </c:numCache>
              </c:numRef>
            </c:minus>
          </c:errBars>
          <c:xVal>
            <c:numRef>
              <c:f>'Norm Dose (2)'!$I$24:$S$24</c:f>
              <c:numCache>
                <c:formatCode>General</c:formatCode>
                <c:ptCount val="11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5.0</c:v>
                </c:pt>
                <c:pt idx="5">
                  <c:v>10.0</c:v>
                </c:pt>
                <c:pt idx="6">
                  <c:v>20.0</c:v>
                </c:pt>
                <c:pt idx="7">
                  <c:v>30.0</c:v>
                </c:pt>
                <c:pt idx="8">
                  <c:v>40.0</c:v>
                </c:pt>
                <c:pt idx="9">
                  <c:v>50.0</c:v>
                </c:pt>
                <c:pt idx="10">
                  <c:v>60.0</c:v>
                </c:pt>
              </c:numCache>
            </c:numRef>
          </c:xVal>
          <c:yVal>
            <c:numRef>
              <c:f>'Norm Dose (2)'!$I$30:$S$30</c:f>
              <c:numCache>
                <c:formatCode>General</c:formatCode>
                <c:ptCount val="11"/>
                <c:pt idx="0">
                  <c:v>0.0</c:v>
                </c:pt>
                <c:pt idx="1">
                  <c:v>757.1958019422374</c:v>
                </c:pt>
                <c:pt idx="2">
                  <c:v>968.974250976546</c:v>
                </c:pt>
                <c:pt idx="3">
                  <c:v>1203.919957083916</c:v>
                </c:pt>
                <c:pt idx="4">
                  <c:v>1384.419895937397</c:v>
                </c:pt>
                <c:pt idx="5">
                  <c:v>1243.082234452111</c:v>
                </c:pt>
                <c:pt idx="6">
                  <c:v>882.3294221641108</c:v>
                </c:pt>
                <c:pt idx="7">
                  <c:v>633.9446152942932</c:v>
                </c:pt>
                <c:pt idx="8">
                  <c:v>457.5851861701615</c:v>
                </c:pt>
                <c:pt idx="9">
                  <c:v>267.1589179501792</c:v>
                </c:pt>
                <c:pt idx="10">
                  <c:v>221.7440610246918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21304"/>
        <c:axId val="-2112415560"/>
      </c:scatterChart>
      <c:valAx>
        <c:axId val="-2112421304"/>
        <c:scaling>
          <c:orientation val="minMax"/>
          <c:max val="6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after injection (min)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-2112415560"/>
        <c:crosses val="autoZero"/>
        <c:crossBetween val="midCat"/>
      </c:valAx>
      <c:valAx>
        <c:axId val="-2112415560"/>
        <c:scaling>
          <c:orientation val="minMax"/>
          <c:max val="1800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 Fluorescence Intensity (a.u.)</a:t>
                </a:r>
              </a:p>
            </c:rich>
          </c:tx>
          <c:layout>
            <c:manualLayout>
              <c:xMode val="edge"/>
              <c:yMode val="edge"/>
              <c:x val="0.00673915760529934"/>
              <c:y val="0.075194225721784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-2112421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808659361444"/>
          <c:y val="0.392440901616343"/>
          <c:w val="0.319761518060895"/>
          <c:h val="0.13392909451273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 w="19050" cmpd="sng">
      <a:solidFill>
        <a:srgbClr val="FFFFFF"/>
      </a:solidFill>
    </a:ln>
  </c:spPr>
  <c:txPr>
    <a:bodyPr/>
    <a:lstStyle/>
    <a:p>
      <a:pPr>
        <a:defRPr sz="800" b="0">
          <a:latin typeface="Helvetica"/>
          <a:cs typeface="Helvetica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t = 5 minutes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(2)'!$N$103:$N$104</c:f>
              <c:numCache>
                <c:formatCode>General</c:formatCode>
                <c:ptCount val="2"/>
                <c:pt idx="0">
                  <c:v>537.017524102907</c:v>
                </c:pt>
                <c:pt idx="1">
                  <c:v>820.526974861124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(2)'!$N$105:$N$106</c:f>
              <c:numCache>
                <c:formatCode>General</c:formatCode>
                <c:ptCount val="2"/>
                <c:pt idx="0">
                  <c:v>865.5455851455461</c:v>
                </c:pt>
                <c:pt idx="1">
                  <c:v>1570.65230715855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(2)'!$N$107:$N$108</c:f>
              <c:numCache>
                <c:formatCode>General</c:formatCode>
                <c:ptCount val="2"/>
                <c:pt idx="0">
                  <c:v>318.022155939953</c:v>
                </c:pt>
                <c:pt idx="1">
                  <c:v>917.547539137457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(2)'!$N$109:$N$110</c:f>
              <c:numCache>
                <c:formatCode>General</c:formatCode>
                <c:ptCount val="2"/>
                <c:pt idx="0">
                  <c:v>1191.74292961319</c:v>
                </c:pt>
                <c:pt idx="1">
                  <c:v>2023.1377719091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(2)'!$N$111:$N$112</c:f>
              <c:numCache>
                <c:formatCode>General</c:formatCode>
                <c:ptCount val="2"/>
                <c:pt idx="0">
                  <c:v>2259.54892498067</c:v>
                </c:pt>
                <c:pt idx="1">
                  <c:v>2354.72213684444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(2)'!$N$113:$N$114</c:f>
              <c:numCache>
                <c:formatCode>General</c:formatCode>
                <c:ptCount val="2"/>
                <c:pt idx="0">
                  <c:v>492.484034919457</c:v>
                </c:pt>
                <c:pt idx="1">
                  <c:v>897.363545032447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(2)'!$N$115:$N$116</c:f>
              <c:numCache>
                <c:formatCode>General</c:formatCode>
                <c:ptCount val="2"/>
                <c:pt idx="0">
                  <c:v>519.22350954689</c:v>
                </c:pt>
                <c:pt idx="1">
                  <c:v>1106.98899661866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371592"/>
        <c:axId val="-2110363480"/>
      </c:lineChart>
      <c:catAx>
        <c:axId val="-211037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363480"/>
        <c:crosses val="autoZero"/>
        <c:auto val="1"/>
        <c:lblAlgn val="ctr"/>
        <c:lblOffset val="100"/>
        <c:noMultiLvlLbl val="0"/>
      </c:catAx>
      <c:valAx>
        <c:axId val="-2110363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0"/>
                  <a:t> Fluorescence Intensity (a.u.)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37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b="0"/>
              <a:t>t = 60 minutes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(2)'!$T$103:$T$104</c:f>
              <c:numCache>
                <c:formatCode>General</c:formatCode>
                <c:ptCount val="2"/>
                <c:pt idx="0">
                  <c:v>110.959543726236</c:v>
                </c:pt>
                <c:pt idx="1">
                  <c:v>256.985802829699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(2)'!$T$105:$T$106</c:f>
              <c:numCache>
                <c:formatCode>General</c:formatCode>
                <c:ptCount val="2"/>
                <c:pt idx="0">
                  <c:v>69.40694050251609</c:v>
                </c:pt>
                <c:pt idx="1">
                  <c:v>131.309682843664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(2)'!$T$107:$T$108</c:f>
              <c:numCache>
                <c:formatCode>General</c:formatCode>
                <c:ptCount val="2"/>
                <c:pt idx="0">
                  <c:v>71.9229623324112</c:v>
                </c:pt>
                <c:pt idx="1">
                  <c:v>472.289702602231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(2)'!$T$109:$T$110</c:f>
              <c:numCache>
                <c:formatCode>General</c:formatCode>
                <c:ptCount val="2"/>
                <c:pt idx="0">
                  <c:v>42.5838599810785</c:v>
                </c:pt>
                <c:pt idx="1">
                  <c:v>131.135344920155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(2)'!$T$111:$T$112</c:f>
              <c:numCache>
                <c:formatCode>General</c:formatCode>
                <c:ptCount val="2"/>
                <c:pt idx="0">
                  <c:v>306.111989269335</c:v>
                </c:pt>
                <c:pt idx="1">
                  <c:v>434.781001303275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(2)'!$T$113:$T$114</c:f>
              <c:numCache>
                <c:formatCode>General</c:formatCode>
                <c:ptCount val="2"/>
                <c:pt idx="0">
                  <c:v>53.5949903222134</c:v>
                </c:pt>
                <c:pt idx="1">
                  <c:v>74.5669479606189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(2)'!$T$115:$T$116</c:f>
              <c:numCache>
                <c:formatCode>General</c:formatCode>
                <c:ptCount val="2"/>
                <c:pt idx="0">
                  <c:v>66.8884754007091</c:v>
                </c:pt>
                <c:pt idx="1">
                  <c:v>51.1399447131997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303688"/>
        <c:axId val="-2110295560"/>
      </c:lineChart>
      <c:catAx>
        <c:axId val="-2110303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295560"/>
        <c:crosses val="autoZero"/>
        <c:auto val="1"/>
        <c:lblAlgn val="ctr"/>
        <c:lblOffset val="100"/>
        <c:noMultiLvlLbl val="0"/>
      </c:catAx>
      <c:valAx>
        <c:axId val="-2110295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Fluorescence Intensity (a.u.)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303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(2)'!$I$103:$I$104</c:f>
              <c:numCache>
                <c:formatCode>General</c:formatCode>
                <c:ptCount val="2"/>
                <c:pt idx="0">
                  <c:v>54.0</c:v>
                </c:pt>
                <c:pt idx="1">
                  <c:v>59.0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(2)'!$I$105:$I$106</c:f>
              <c:numCache>
                <c:formatCode>General</c:formatCode>
                <c:ptCount val="2"/>
                <c:pt idx="0">
                  <c:v>105.0</c:v>
                </c:pt>
                <c:pt idx="1">
                  <c:v>90.0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(2)'!$I$107:$I$108</c:f>
              <c:numCache>
                <c:formatCode>General</c:formatCode>
                <c:ptCount val="2"/>
                <c:pt idx="0">
                  <c:v>72.0</c:v>
                </c:pt>
                <c:pt idx="1">
                  <c:v>43.0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(2)'!$I$109:$I$110</c:f>
              <c:numCache>
                <c:formatCode>General</c:formatCode>
                <c:ptCount val="2"/>
                <c:pt idx="0">
                  <c:v>76.0</c:v>
                </c:pt>
                <c:pt idx="1">
                  <c:v>82.0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(2)'!$I$111:$I$112</c:f>
              <c:numCache>
                <c:formatCode>General</c:formatCode>
                <c:ptCount val="2"/>
                <c:pt idx="0">
                  <c:v>64.0</c:v>
                </c:pt>
                <c:pt idx="1">
                  <c:v>52.0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(2)'!$I$113:$I$114</c:f>
              <c:numCache>
                <c:formatCode>General</c:formatCode>
                <c:ptCount val="2"/>
                <c:pt idx="0">
                  <c:v>76.0</c:v>
                </c:pt>
                <c:pt idx="1">
                  <c:v>62.0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(2)'!$I$115:$I$116</c:f>
              <c:numCache>
                <c:formatCode>General</c:formatCode>
                <c:ptCount val="2"/>
                <c:pt idx="0">
                  <c:v>60.0</c:v>
                </c:pt>
                <c:pt idx="1">
                  <c:v>59.0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089240"/>
        <c:axId val="-2112081112"/>
      </c:lineChart>
      <c:catAx>
        <c:axId val="-211208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2081112"/>
        <c:crosses val="autoZero"/>
        <c:auto val="1"/>
        <c:lblAlgn val="ctr"/>
        <c:lblOffset val="100"/>
        <c:noMultiLvlLbl val="0"/>
      </c:catAx>
      <c:valAx>
        <c:axId val="-2112081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Blood Glucose (mg/dL)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208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(2)'!$AE$106:$AE$107</c:f>
              <c:numCache>
                <c:formatCode>0</c:formatCode>
                <c:ptCount val="2"/>
                <c:pt idx="0">
                  <c:v>97.8003126643863</c:v>
                </c:pt>
                <c:pt idx="1">
                  <c:v>164.655221409243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(2)'!$AE$108:$AE$109</c:f>
              <c:numCache>
                <c:formatCode>0</c:formatCode>
                <c:ptCount val="2"/>
                <c:pt idx="0">
                  <c:v>9.188287345035491</c:v>
                </c:pt>
                <c:pt idx="1">
                  <c:v>8.33205093766995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(2)'!$AE$110:$AE$111</c:f>
              <c:numCache>
                <c:formatCode>0.00E+00</c:formatCode>
                <c:ptCount val="2"/>
                <c:pt idx="0" formatCode="0">
                  <c:v>112.477471148756</c:v>
                </c:pt>
                <c:pt idx="1">
                  <c:v>350.536826038312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(2)'!$AE$112:$AE$113</c:f>
              <c:numCache>
                <c:formatCode>0</c:formatCode>
                <c:ptCount val="2"/>
                <c:pt idx="0">
                  <c:v>7.16471080340745</c:v>
                </c:pt>
                <c:pt idx="1">
                  <c:v>15.8521484283996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(2)'!$AE$114:$AE$115</c:f>
              <c:numCache>
                <c:formatCode>0</c:formatCode>
                <c:ptCount val="2"/>
                <c:pt idx="0" formatCode="General">
                  <c:v>21.4432203282767</c:v>
                </c:pt>
                <c:pt idx="1">
                  <c:v>71.4246045053219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(2)'!$AE$116:$AE$117</c:f>
              <c:numCache>
                <c:formatCode>General</c:formatCode>
                <c:ptCount val="2"/>
                <c:pt idx="0">
                  <c:v>30.8754909680132</c:v>
                </c:pt>
                <c:pt idx="1">
                  <c:v>7.55967218734832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(2)'!$AE$118:$AE$119</c:f>
              <c:numCache>
                <c:formatCode>General</c:formatCode>
                <c:ptCount val="2"/>
                <c:pt idx="0">
                  <c:v>28.9227629359124</c:v>
                </c:pt>
                <c:pt idx="1">
                  <c:v>10.5864594295972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175192"/>
        <c:axId val="-2110167048"/>
      </c:lineChart>
      <c:catAx>
        <c:axId val="-2110175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167048"/>
        <c:crosses val="autoZero"/>
        <c:auto val="1"/>
        <c:lblAlgn val="ctr"/>
        <c:lblOffset val="100"/>
        <c:noMultiLvlLbl val="0"/>
      </c:catAx>
      <c:valAx>
        <c:axId val="-2110167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-25000"/>
                  <a:t>60 </a:t>
                </a:r>
                <a:r>
                  <a:rPr lang="en-US"/>
                  <a:t>/ R</a:t>
                </a:r>
                <a:r>
                  <a:rPr lang="en-US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17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881847151514"/>
          <c:y val="0.163791393626994"/>
          <c:w val="0.751175492225038"/>
          <c:h val="0.5518022834500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(2)'!$T$103:$T$104</c:f>
              <c:numCache>
                <c:formatCode>General</c:formatCode>
                <c:ptCount val="2"/>
                <c:pt idx="0">
                  <c:v>110.959543726236</c:v>
                </c:pt>
                <c:pt idx="1">
                  <c:v>256.985802829699</c:v>
                </c:pt>
              </c:numCache>
            </c:numRef>
          </c:val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(2)'!$T$105:$T$106</c:f>
              <c:numCache>
                <c:formatCode>General</c:formatCode>
                <c:ptCount val="2"/>
                <c:pt idx="0">
                  <c:v>69.40694050251609</c:v>
                </c:pt>
                <c:pt idx="1">
                  <c:v>131.309682843664</c:v>
                </c:pt>
              </c:numCache>
            </c:numRef>
          </c:val>
        </c:ser>
        <c:ser>
          <c:idx val="2"/>
          <c:order val="2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(2)'!$T$107:$T$108</c:f>
              <c:numCache>
                <c:formatCode>General</c:formatCode>
                <c:ptCount val="2"/>
                <c:pt idx="0">
                  <c:v>71.9229623324112</c:v>
                </c:pt>
                <c:pt idx="1">
                  <c:v>472.289702602231</c:v>
                </c:pt>
              </c:numCache>
            </c:numRef>
          </c:val>
        </c:ser>
        <c:ser>
          <c:idx val="3"/>
          <c:order val="3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(2)'!$T$109:$T$110</c:f>
              <c:numCache>
                <c:formatCode>General</c:formatCode>
                <c:ptCount val="2"/>
                <c:pt idx="0">
                  <c:v>42.5838599810785</c:v>
                </c:pt>
                <c:pt idx="1">
                  <c:v>131.135344920155</c:v>
                </c:pt>
              </c:numCache>
            </c:numRef>
          </c:val>
        </c:ser>
        <c:ser>
          <c:idx val="4"/>
          <c:order val="4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(2)'!$T$111:$T$112</c:f>
              <c:numCache>
                <c:formatCode>General</c:formatCode>
                <c:ptCount val="2"/>
                <c:pt idx="0">
                  <c:v>306.111989269335</c:v>
                </c:pt>
                <c:pt idx="1">
                  <c:v>434.781001303275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 w="28575" cap="rnd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8575" cap="rnd">
                <a:noFill/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(2)'!$T$113:$T$114</c:f>
              <c:numCache>
                <c:formatCode>General</c:formatCode>
                <c:ptCount val="2"/>
                <c:pt idx="0">
                  <c:v>53.5949903222134</c:v>
                </c:pt>
                <c:pt idx="1">
                  <c:v>74.5669479606189</c:v>
                </c:pt>
              </c:numCache>
            </c:numRef>
          </c:val>
        </c:ser>
        <c:ser>
          <c:idx val="6"/>
          <c:order val="6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(2)'!$T$115:$T$116</c:f>
              <c:numCache>
                <c:formatCode>General</c:formatCode>
                <c:ptCount val="2"/>
                <c:pt idx="0">
                  <c:v>66.8884754007091</c:v>
                </c:pt>
                <c:pt idx="1">
                  <c:v>51.1399447131997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1975160"/>
        <c:axId val="-2111968504"/>
      </c:barChart>
      <c:catAx>
        <c:axId val="-2111975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0"/>
                  <a:t> Dose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1968504"/>
        <c:crosses val="autoZero"/>
        <c:auto val="1"/>
        <c:lblAlgn val="ctr"/>
        <c:lblOffset val="100"/>
        <c:noMultiLvlLbl val="0"/>
      </c:catAx>
      <c:valAx>
        <c:axId val="-2111968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-25000"/>
                  <a:t>60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19751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(2)'!$AD$106:$AD$107</c:f>
              <c:numCache>
                <c:formatCode>General</c:formatCode>
                <c:ptCount val="2"/>
                <c:pt idx="0">
                  <c:v>159.8365590716993</c:v>
                </c:pt>
                <c:pt idx="1">
                  <c:v>302.9366324869634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(2)'!$AD$108:$AD$109</c:f>
              <c:numCache>
                <c:formatCode>General</c:formatCode>
                <c:ptCount val="2"/>
                <c:pt idx="0">
                  <c:v>16.78870022832312</c:v>
                </c:pt>
                <c:pt idx="1">
                  <c:v>16.85659212596821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(2)'!$AD$110:$AD$111</c:f>
              <c:numCache>
                <c:formatCode>General</c:formatCode>
                <c:ptCount val="2"/>
                <c:pt idx="0">
                  <c:v>209.5557820599032</c:v>
                </c:pt>
                <c:pt idx="1">
                  <c:v>800.0444729769754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(2)'!$AD$112:$AD$113</c:f>
              <c:numCache>
                <c:formatCode>General</c:formatCode>
                <c:ptCount val="2"/>
                <c:pt idx="0">
                  <c:v>21.63893972942658</c:v>
                </c:pt>
                <c:pt idx="1">
                  <c:v>35.81663530979375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(2)'!$AD$114:$AD$115</c:f>
              <c:numCache>
                <c:formatCode>General</c:formatCode>
                <c:ptCount val="2"/>
                <c:pt idx="0">
                  <c:v>43.60867007728928</c:v>
                </c:pt>
                <c:pt idx="1">
                  <c:v>142.8268510423467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(2)'!$AD$116:$AD$117</c:f>
              <c:numCache>
                <c:formatCode>General</c:formatCode>
                <c:ptCount val="2"/>
                <c:pt idx="0">
                  <c:v>46.44508451886157</c:v>
                </c:pt>
                <c:pt idx="1">
                  <c:v>12.84409525821052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(2)'!$AD$118:$AD$119</c:f>
              <c:numCache>
                <c:formatCode>General</c:formatCode>
                <c:ptCount val="2"/>
                <c:pt idx="0">
                  <c:v>42.14447718345797</c:v>
                </c:pt>
                <c:pt idx="1">
                  <c:v>22.59617236499396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35080"/>
        <c:axId val="-2110153432"/>
      </c:lineChart>
      <c:catAx>
        <c:axId val="-211023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 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153432"/>
        <c:crosses val="autoZero"/>
        <c:auto val="1"/>
        <c:lblAlgn val="ctr"/>
        <c:lblOffset val="100"/>
        <c:noMultiLvlLbl val="0"/>
      </c:catAx>
      <c:valAx>
        <c:axId val="-211015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-25000"/>
                  <a:t>40 </a:t>
                </a:r>
                <a:r>
                  <a:rPr lang="en-US"/>
                  <a:t>/ R</a:t>
                </a:r>
                <a:r>
                  <a:rPr lang="en-US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023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881847151514"/>
          <c:y val="0.163791393626994"/>
          <c:w val="0.751175492225038"/>
          <c:h val="0.5518022834500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(2)'!$AE$106:$AE$107</c:f>
              <c:numCache>
                <c:formatCode>0</c:formatCode>
                <c:ptCount val="2"/>
                <c:pt idx="0">
                  <c:v>97.8003126643863</c:v>
                </c:pt>
                <c:pt idx="1">
                  <c:v>164.655221409243</c:v>
                </c:pt>
              </c:numCache>
            </c:numRef>
          </c:val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(2)'!$AE$108:$AE$109</c:f>
              <c:numCache>
                <c:formatCode>0</c:formatCode>
                <c:ptCount val="2"/>
                <c:pt idx="0">
                  <c:v>9.188287345035491</c:v>
                </c:pt>
                <c:pt idx="1">
                  <c:v>8.33205093766995</c:v>
                </c:pt>
              </c:numCache>
            </c:numRef>
          </c:val>
        </c:ser>
        <c:ser>
          <c:idx val="2"/>
          <c:order val="2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(2)'!$AE$110:$AE$111</c:f>
              <c:numCache>
                <c:formatCode>0.00E+00</c:formatCode>
                <c:ptCount val="2"/>
                <c:pt idx="0" formatCode="0">
                  <c:v>112.477471148756</c:v>
                </c:pt>
                <c:pt idx="1">
                  <c:v>350.536826038312</c:v>
                </c:pt>
              </c:numCache>
            </c:numRef>
          </c:val>
        </c:ser>
        <c:ser>
          <c:idx val="3"/>
          <c:order val="3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(2)'!$AE$112:$AE$113</c:f>
              <c:numCache>
                <c:formatCode>0</c:formatCode>
                <c:ptCount val="2"/>
                <c:pt idx="0">
                  <c:v>7.16471080340745</c:v>
                </c:pt>
                <c:pt idx="1">
                  <c:v>15.8521484283996</c:v>
                </c:pt>
              </c:numCache>
            </c:numRef>
          </c:val>
        </c:ser>
        <c:ser>
          <c:idx val="4"/>
          <c:order val="4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(2)'!$AE$114:$AE$115</c:f>
              <c:numCache>
                <c:formatCode>0</c:formatCode>
                <c:ptCount val="2"/>
                <c:pt idx="0" formatCode="General">
                  <c:v>21.4432203282767</c:v>
                </c:pt>
                <c:pt idx="1">
                  <c:v>71.4246045053219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 w="28575" cap="rnd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8575" cap="rnd">
                <a:noFill/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(2)'!$AE$116:$AE$117</c:f>
              <c:numCache>
                <c:formatCode>General</c:formatCode>
                <c:ptCount val="2"/>
                <c:pt idx="0">
                  <c:v>30.8754909680132</c:v>
                </c:pt>
                <c:pt idx="1">
                  <c:v>7.55967218734832</c:v>
                </c:pt>
              </c:numCache>
            </c:numRef>
          </c:val>
        </c:ser>
        <c:ser>
          <c:idx val="6"/>
          <c:order val="6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(2)'!$AE$118:$AE$119</c:f>
              <c:numCache>
                <c:formatCode>General</c:formatCode>
                <c:ptCount val="2"/>
                <c:pt idx="0">
                  <c:v>28.9227629359124</c:v>
                </c:pt>
                <c:pt idx="1">
                  <c:v>10.5864594295972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2805576"/>
        <c:axId val="-2112812200"/>
      </c:barChart>
      <c:catAx>
        <c:axId val="-2112805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0"/>
                  <a:t> Dose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2812200"/>
        <c:crosses val="autoZero"/>
        <c:auto val="1"/>
        <c:lblAlgn val="ctr"/>
        <c:lblOffset val="100"/>
        <c:noMultiLvlLbl val="0"/>
      </c:catAx>
      <c:valAx>
        <c:axId val="-2112812200"/>
        <c:scaling>
          <c:orientation val="minMax"/>
          <c:max val="35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-25000"/>
                  <a:t>60</a:t>
                </a:r>
                <a:r>
                  <a:rPr lang="en-US" sz="1600" b="0" i="0" u="none" strike="noStrike" baseline="0">
                    <a:effectLst/>
                  </a:rPr>
                  <a:t>/R</a:t>
                </a:r>
                <a:r>
                  <a:rPr lang="en-US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128055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881847151514"/>
          <c:y val="0.163791393626994"/>
          <c:w val="0.751175492225038"/>
          <c:h val="0.5518022834500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(2)'!$W$106:$W$107</c:f>
              <c:numCache>
                <c:formatCode>General</c:formatCode>
                <c:ptCount val="2"/>
                <c:pt idx="0">
                  <c:v>1.18638034601255</c:v>
                </c:pt>
                <c:pt idx="1">
                  <c:v>1.56105488060452</c:v>
                </c:pt>
              </c:numCache>
            </c:numRef>
          </c:val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(2)'!$W$108:$W$109</c:f>
              <c:numCache>
                <c:formatCode>General</c:formatCode>
                <c:ptCount val="2"/>
                <c:pt idx="0">
                  <c:v>7.44187892532394</c:v>
                </c:pt>
                <c:pt idx="1">
                  <c:v>16.1283126206511</c:v>
                </c:pt>
              </c:numCache>
            </c:numRef>
          </c:val>
        </c:ser>
        <c:ser>
          <c:idx val="2"/>
          <c:order val="2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(2)'!$W$110:$W$111</c:f>
              <c:numCache>
                <c:formatCode>General</c:formatCode>
                <c:ptCount val="2"/>
                <c:pt idx="0">
                  <c:v>0.592084166597886</c:v>
                </c:pt>
                <c:pt idx="1">
                  <c:v>1.34272758324597</c:v>
                </c:pt>
              </c:numCache>
            </c:numRef>
          </c:val>
        </c:ser>
        <c:ser>
          <c:idx val="3"/>
          <c:order val="3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(2)'!$W$112:$W$113</c:f>
              <c:numCache>
                <c:formatCode>General</c:formatCode>
                <c:ptCount val="2"/>
                <c:pt idx="0">
                  <c:v>5.55597831834665</c:v>
                </c:pt>
                <c:pt idx="1">
                  <c:v>8.15911387865729</c:v>
                </c:pt>
              </c:numCache>
            </c:numRef>
          </c:val>
        </c:ser>
        <c:ser>
          <c:idx val="4"/>
          <c:order val="4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(2)'!$W$114:$W$115</c:f>
              <c:numCache>
                <c:formatCode>General</c:formatCode>
                <c:ptCount val="2"/>
                <c:pt idx="0">
                  <c:v>14.0711431057341</c:v>
                </c:pt>
                <c:pt idx="1">
                  <c:v>6.04205855839227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 w="28575" cap="rnd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8575" cap="rnd">
                <a:noFill/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(2)'!$W$116:$W$117</c:f>
              <c:numCache>
                <c:formatCode>General</c:formatCode>
                <c:ptCount val="2"/>
                <c:pt idx="0">
                  <c:v>1.61493048730529</c:v>
                </c:pt>
                <c:pt idx="1">
                  <c:v>9.6684645151817</c:v>
                </c:pt>
              </c:numCache>
            </c:numRef>
          </c:val>
        </c:ser>
        <c:ser>
          <c:idx val="6"/>
          <c:order val="6"/>
          <c:spPr>
            <a:solidFill>
              <a:srgbClr val="FF0000"/>
            </a:solidFill>
            <a:ln w="28575" cap="rnd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28575" cap="rnd">
                <a:noFill/>
                <a:round/>
              </a:ln>
              <a:effectLst/>
            </c:spPr>
          </c:dPt>
          <c:cat>
            <c:strRef>
              <c:f>'Norm Dose (2)'!$F$126:$F$127</c:f>
              <c:strCache>
                <c:ptCount val="2"/>
                <c:pt idx="0">
                  <c:v>6mM</c:v>
                </c:pt>
                <c:pt idx="1">
                  <c:v>10mM</c:v>
                </c:pt>
              </c:strCache>
            </c:strRef>
          </c:cat>
          <c:val>
            <c:numRef>
              <c:f>'Norm Dose (2)'!$W$118:$W$119</c:f>
              <c:numCache>
                <c:formatCode>General</c:formatCode>
                <c:ptCount val="2"/>
                <c:pt idx="0">
                  <c:v>2.20738581217069</c:v>
                </c:pt>
                <c:pt idx="1">
                  <c:v>4.63364062023077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9574216"/>
        <c:axId val="-2109567560"/>
      </c:barChart>
      <c:catAx>
        <c:axId val="-210957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0"/>
                  <a:t> Dose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09567560"/>
        <c:crosses val="autoZero"/>
        <c:auto val="1"/>
        <c:lblAlgn val="ctr"/>
        <c:lblOffset val="100"/>
        <c:noMultiLvlLbl val="0"/>
      </c:catAx>
      <c:valAx>
        <c:axId val="-2109567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600" b="0" i="0" u="none" strike="noStrike" baseline="0">
                    <a:effectLst/>
                  </a:rPr>
                  <a:t>R</a:t>
                </a:r>
                <a:r>
                  <a:rPr lang="en-US" baseline="-25000"/>
                  <a:t>D </a:t>
                </a:r>
                <a:r>
                  <a:rPr lang="en-US" sz="1600" b="0" i="0" u="none" strike="noStrike" baseline="0">
                    <a:effectLst/>
                  </a:rPr>
                  <a:t>(s</a:t>
                </a:r>
                <a:r>
                  <a:rPr lang="en-US" sz="1600" b="0" i="0" u="none" strike="noStrike" baseline="30000">
                    <a:effectLst/>
                  </a:rPr>
                  <a:t>-1</a:t>
                </a:r>
                <a:r>
                  <a:rPr lang="en-US" sz="1600" b="0" i="0" u="none" strike="noStrike" baseline="0">
                    <a:effectLst/>
                  </a:rPr>
                  <a:t>)</a:t>
                </a:r>
                <a:endParaRPr lang="en-US" baseline="-25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-21095742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BG!#REF!</c:f>
            </c:numRef>
          </c:xVal>
          <c:yVal>
            <c:numRef>
              <c:f>BG!#REF!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103320"/>
        <c:axId val="2141120488"/>
      </c:scatterChart>
      <c:valAx>
        <c:axId val="2141103320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120488"/>
        <c:crosses val="autoZero"/>
        <c:crossBetween val="midCat"/>
      </c:valAx>
      <c:valAx>
        <c:axId val="2141120488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r>
                  <a:rPr lang="en-US" sz="1800" b="1" i="0" baseline="0">
                    <a:effectLst/>
                  </a:rPr>
                  <a:t>/RD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1103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star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BG!$I$2:$I$24</c:f>
              <c:numCache>
                <c:formatCode>General</c:formatCode>
                <c:ptCount val="23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  <c:pt idx="16">
                  <c:v>57.5</c:v>
                </c:pt>
                <c:pt idx="17">
                  <c:v>65.0</c:v>
                </c:pt>
                <c:pt idx="18">
                  <c:v>52.0</c:v>
                </c:pt>
                <c:pt idx="20">
                  <c:v>76.0</c:v>
                </c:pt>
                <c:pt idx="21">
                  <c:v>62.0</c:v>
                </c:pt>
                <c:pt idx="22">
                  <c:v>60.0</c:v>
                </c:pt>
              </c:numCache>
            </c:numRef>
          </c:xVal>
          <c:yVal>
            <c:numRef>
              <c:f>BG!$AE$2:$AE$24</c:f>
              <c:numCache>
                <c:formatCode>General</c:formatCode>
                <c:ptCount val="23"/>
                <c:pt idx="0">
                  <c:v>25.5576055878703</c:v>
                </c:pt>
                <c:pt idx="1">
                  <c:v>46.7422795704494</c:v>
                </c:pt>
                <c:pt idx="2">
                  <c:v>57.4935939617251</c:v>
                </c:pt>
                <c:pt idx="3">
                  <c:v>36.7846758170349</c:v>
                </c:pt>
                <c:pt idx="4">
                  <c:v>81.41493888695</c:v>
                </c:pt>
                <c:pt idx="5">
                  <c:v>105.738293747198</c:v>
                </c:pt>
                <c:pt idx="7" formatCode="0.00E+00">
                  <c:v>49.937887229484</c:v>
                </c:pt>
                <c:pt idx="8" formatCode="0">
                  <c:v>30.1923619938034</c:v>
                </c:pt>
                <c:pt idx="9" formatCode="0">
                  <c:v>15.8521484283996</c:v>
                </c:pt>
                <c:pt idx="10">
                  <c:v>9.6508409950448</c:v>
                </c:pt>
                <c:pt idx="11">
                  <c:v>19.21758157768076</c:v>
                </c:pt>
                <c:pt idx="12">
                  <c:v>19.7546111827548</c:v>
                </c:pt>
                <c:pt idx="13">
                  <c:v>46.4339124167993</c:v>
                </c:pt>
                <c:pt idx="14">
                  <c:v>131.2277670368147</c:v>
                </c:pt>
                <c:pt idx="15">
                  <c:v>8.760169141352719</c:v>
                </c:pt>
                <c:pt idx="16">
                  <c:v>231.507148593534</c:v>
                </c:pt>
                <c:pt idx="17">
                  <c:v>406.738660559539</c:v>
                </c:pt>
                <c:pt idx="18" formatCode="0">
                  <c:v>105.111939743034</c:v>
                </c:pt>
                <c:pt idx="20">
                  <c:v>30.8754909680132</c:v>
                </c:pt>
                <c:pt idx="21">
                  <c:v>7.55967218734832</c:v>
                </c:pt>
                <c:pt idx="22">
                  <c:v>28.9227629359124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831384"/>
        <c:axId val="2141838952"/>
      </c:scatterChart>
      <c:valAx>
        <c:axId val="2141831384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838952"/>
        <c:crosses val="autoZero"/>
        <c:crossBetween val="midCat"/>
      </c:valAx>
      <c:valAx>
        <c:axId val="2141838952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2-NBDG60/RD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8313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'Norm Dose (2)'!#REF!</c:f>
            </c:numRef>
          </c:xVal>
          <c:yVal>
            <c:numRef>
              <c:f>'Norm Dose (2)'!#REF!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818680"/>
        <c:axId val="-2110556712"/>
      </c:scatterChart>
      <c:valAx>
        <c:axId val="-2111818680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556712"/>
        <c:crosses val="autoZero"/>
        <c:crossBetween val="midCat"/>
      </c:valAx>
      <c:valAx>
        <c:axId val="-2110556712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r>
                  <a:rPr lang="en-US" sz="1800" b="1" i="0" baseline="0">
                    <a:effectLst/>
                  </a:rPr>
                  <a:t>/RD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1118186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xVal>
            <c:numRef>
              <c:f>BG!$I$9:$I$25</c:f>
              <c:numCache>
                <c:formatCode>General</c:formatCode>
                <c:ptCount val="17"/>
                <c:pt idx="0">
                  <c:v>46.0</c:v>
                </c:pt>
                <c:pt idx="1">
                  <c:v>82.0</c:v>
                </c:pt>
                <c:pt idx="2">
                  <c:v>82.0</c:v>
                </c:pt>
                <c:pt idx="3">
                  <c:v>92.0</c:v>
                </c:pt>
                <c:pt idx="4">
                  <c:v>69.0</c:v>
                </c:pt>
                <c:pt idx="5">
                  <c:v>59.5</c:v>
                </c:pt>
                <c:pt idx="6">
                  <c:v>58.0</c:v>
                </c:pt>
                <c:pt idx="7">
                  <c:v>56.5</c:v>
                </c:pt>
                <c:pt idx="8">
                  <c:v>97.5</c:v>
                </c:pt>
                <c:pt idx="9">
                  <c:v>57.5</c:v>
                </c:pt>
                <c:pt idx="10">
                  <c:v>65.0</c:v>
                </c:pt>
                <c:pt idx="11">
                  <c:v>52.0</c:v>
                </c:pt>
                <c:pt idx="13">
                  <c:v>76.0</c:v>
                </c:pt>
                <c:pt idx="14">
                  <c:v>62.0</c:v>
                </c:pt>
                <c:pt idx="15">
                  <c:v>60.0</c:v>
                </c:pt>
                <c:pt idx="16">
                  <c:v>59.0</c:v>
                </c:pt>
              </c:numCache>
            </c:numRef>
          </c:xVal>
          <c:yVal>
            <c:numRef>
              <c:f>BG!$AE$9:$AE$25</c:f>
              <c:numCache>
                <c:formatCode>0</c:formatCode>
                <c:ptCount val="17"/>
                <c:pt idx="0" formatCode="0.00E+00">
                  <c:v>49.937887229484</c:v>
                </c:pt>
                <c:pt idx="1">
                  <c:v>30.1923619938034</c:v>
                </c:pt>
                <c:pt idx="2">
                  <c:v>15.8521484283996</c:v>
                </c:pt>
                <c:pt idx="3" formatCode="General">
                  <c:v>9.6508409950448</c:v>
                </c:pt>
                <c:pt idx="4" formatCode="General">
                  <c:v>19.21758157768076</c:v>
                </c:pt>
                <c:pt idx="5" formatCode="General">
                  <c:v>19.7546111827548</c:v>
                </c:pt>
                <c:pt idx="6" formatCode="General">
                  <c:v>46.4339124167993</c:v>
                </c:pt>
                <c:pt idx="7" formatCode="General">
                  <c:v>131.2277670368147</c:v>
                </c:pt>
                <c:pt idx="8" formatCode="General">
                  <c:v>8.760169141352719</c:v>
                </c:pt>
                <c:pt idx="9" formatCode="General">
                  <c:v>231.507148593534</c:v>
                </c:pt>
                <c:pt idx="10" formatCode="General">
                  <c:v>406.738660559539</c:v>
                </c:pt>
                <c:pt idx="11">
                  <c:v>105.111939743034</c:v>
                </c:pt>
                <c:pt idx="13" formatCode="General">
                  <c:v>30.8754909680132</c:v>
                </c:pt>
                <c:pt idx="14" formatCode="General">
                  <c:v>7.55967218734832</c:v>
                </c:pt>
                <c:pt idx="15" formatCode="General">
                  <c:v>28.9227629359124</c:v>
                </c:pt>
                <c:pt idx="16" formatCode="General">
                  <c:v>10.5864594295972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863800"/>
        <c:axId val="2141869304"/>
      </c:scatterChart>
      <c:valAx>
        <c:axId val="2141863800"/>
        <c:scaling>
          <c:orientation val="minMax"/>
          <c:max val="12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869304"/>
        <c:crosses val="autoZero"/>
        <c:crossBetween val="midCat"/>
      </c:valAx>
      <c:valAx>
        <c:axId val="2141869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r>
                  <a:rPr lang="en-US" sz="1800" b="1" i="0" baseline="0">
                    <a:effectLst/>
                  </a:rPr>
                  <a:t>/RD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21418638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BG!#REF!</c:f>
            </c:numRef>
          </c:xVal>
          <c:yVal>
            <c:numRef>
              <c:f>BG!#REF!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040680"/>
        <c:axId val="2141898136"/>
      </c:scatterChart>
      <c:valAx>
        <c:axId val="2141040680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898136"/>
        <c:crosses val="autoZero"/>
        <c:crossBetween val="midCat"/>
      </c:valAx>
      <c:valAx>
        <c:axId val="2141898136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10406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star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BG!$I$2:$I$24</c:f>
              <c:numCache>
                <c:formatCode>General</c:formatCode>
                <c:ptCount val="23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  <c:pt idx="16">
                  <c:v>57.5</c:v>
                </c:pt>
                <c:pt idx="17">
                  <c:v>65.0</c:v>
                </c:pt>
                <c:pt idx="18">
                  <c:v>52.0</c:v>
                </c:pt>
                <c:pt idx="20">
                  <c:v>76.0</c:v>
                </c:pt>
                <c:pt idx="21">
                  <c:v>62.0</c:v>
                </c:pt>
                <c:pt idx="22">
                  <c:v>60.0</c:v>
                </c:pt>
              </c:numCache>
            </c:numRef>
          </c:xVal>
          <c:yVal>
            <c:numRef>
              <c:f>BG!$T$2:$T$24</c:f>
              <c:numCache>
                <c:formatCode>General</c:formatCode>
                <c:ptCount val="23"/>
                <c:pt idx="0">
                  <c:v>130.914773255154</c:v>
                </c:pt>
                <c:pt idx="1">
                  <c:v>77.5675013609145</c:v>
                </c:pt>
                <c:pt idx="2">
                  <c:v>173.076611045424</c:v>
                </c:pt>
                <c:pt idx="3">
                  <c:v>158.025217728063</c:v>
                </c:pt>
                <c:pt idx="4">
                  <c:v>115.424571953822</c:v>
                </c:pt>
                <c:pt idx="5">
                  <c:v>286.221997577653</c:v>
                </c:pt>
                <c:pt idx="7">
                  <c:v>272.047233842148</c:v>
                </c:pt>
                <c:pt idx="8">
                  <c:v>83.2415003842383</c:v>
                </c:pt>
                <c:pt idx="9">
                  <c:v>131.135344920155</c:v>
                </c:pt>
                <c:pt idx="10">
                  <c:v>134.873404333456</c:v>
                </c:pt>
                <c:pt idx="11">
                  <c:v>64.08096914141614</c:v>
                </c:pt>
                <c:pt idx="12">
                  <c:v>59.0142100569544</c:v>
                </c:pt>
                <c:pt idx="13">
                  <c:v>370.446495286305</c:v>
                </c:pt>
                <c:pt idx="14">
                  <c:v>183.9726732779675</c:v>
                </c:pt>
                <c:pt idx="15">
                  <c:v>100.35831167309</c:v>
                </c:pt>
                <c:pt idx="16">
                  <c:v>272.1063324673211</c:v>
                </c:pt>
                <c:pt idx="17">
                  <c:v>65.181053245881</c:v>
                </c:pt>
                <c:pt idx="18">
                  <c:v>1052.03831149345</c:v>
                </c:pt>
                <c:pt idx="20">
                  <c:v>53.5949903222134</c:v>
                </c:pt>
                <c:pt idx="21">
                  <c:v>74.5669479606189</c:v>
                </c:pt>
                <c:pt idx="22">
                  <c:v>66.8884754007091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917960"/>
        <c:axId val="2141925528"/>
      </c:scatterChart>
      <c:valAx>
        <c:axId val="2141917960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925528"/>
        <c:crosses val="autoZero"/>
        <c:crossBetween val="midCat"/>
      </c:valAx>
      <c:valAx>
        <c:axId val="2141925528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2-NBDG60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19179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xVal>
            <c:numRef>
              <c:f>BG!$I$9:$I$25</c:f>
              <c:numCache>
                <c:formatCode>General</c:formatCode>
                <c:ptCount val="17"/>
                <c:pt idx="0">
                  <c:v>46.0</c:v>
                </c:pt>
                <c:pt idx="1">
                  <c:v>82.0</c:v>
                </c:pt>
                <c:pt idx="2">
                  <c:v>82.0</c:v>
                </c:pt>
                <c:pt idx="3">
                  <c:v>92.0</c:v>
                </c:pt>
                <c:pt idx="4">
                  <c:v>69.0</c:v>
                </c:pt>
                <c:pt idx="5">
                  <c:v>59.5</c:v>
                </c:pt>
                <c:pt idx="6">
                  <c:v>58.0</c:v>
                </c:pt>
                <c:pt idx="7">
                  <c:v>56.5</c:v>
                </c:pt>
                <c:pt idx="8">
                  <c:v>97.5</c:v>
                </c:pt>
                <c:pt idx="9">
                  <c:v>57.5</c:v>
                </c:pt>
                <c:pt idx="10">
                  <c:v>65.0</c:v>
                </c:pt>
                <c:pt idx="11">
                  <c:v>52.0</c:v>
                </c:pt>
                <c:pt idx="13">
                  <c:v>76.0</c:v>
                </c:pt>
                <c:pt idx="14">
                  <c:v>62.0</c:v>
                </c:pt>
                <c:pt idx="15">
                  <c:v>60.0</c:v>
                </c:pt>
                <c:pt idx="16">
                  <c:v>59.0</c:v>
                </c:pt>
              </c:numCache>
            </c:numRef>
          </c:xVal>
          <c:yVal>
            <c:numRef>
              <c:f>BG!$T$9:$T$25</c:f>
              <c:numCache>
                <c:formatCode>General</c:formatCode>
                <c:ptCount val="17"/>
                <c:pt idx="0">
                  <c:v>272.047233842148</c:v>
                </c:pt>
                <c:pt idx="1">
                  <c:v>83.2415003842383</c:v>
                </c:pt>
                <c:pt idx="2">
                  <c:v>131.135344920155</c:v>
                </c:pt>
                <c:pt idx="3">
                  <c:v>134.873404333456</c:v>
                </c:pt>
                <c:pt idx="4">
                  <c:v>64.08096914141614</c:v>
                </c:pt>
                <c:pt idx="5">
                  <c:v>59.0142100569544</c:v>
                </c:pt>
                <c:pt idx="6">
                  <c:v>370.446495286305</c:v>
                </c:pt>
                <c:pt idx="7">
                  <c:v>183.9726732779675</c:v>
                </c:pt>
                <c:pt idx="8">
                  <c:v>100.35831167309</c:v>
                </c:pt>
                <c:pt idx="9">
                  <c:v>272.1063324673211</c:v>
                </c:pt>
                <c:pt idx="10">
                  <c:v>65.181053245881</c:v>
                </c:pt>
                <c:pt idx="11">
                  <c:v>1052.03831149345</c:v>
                </c:pt>
                <c:pt idx="13">
                  <c:v>53.5949903222134</c:v>
                </c:pt>
                <c:pt idx="14">
                  <c:v>74.5669479606189</c:v>
                </c:pt>
                <c:pt idx="15">
                  <c:v>66.8884754007091</c:v>
                </c:pt>
                <c:pt idx="16">
                  <c:v>51.1399447131997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284376"/>
        <c:axId val="2140278904"/>
      </c:scatterChart>
      <c:valAx>
        <c:axId val="2140284376"/>
        <c:scaling>
          <c:orientation val="minMax"/>
          <c:max val="12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0278904"/>
        <c:crosses val="autoZero"/>
        <c:crossBetween val="midCat"/>
      </c:valAx>
      <c:valAx>
        <c:axId val="2140278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02843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701165645"/>
          <c:y val="0.0941592854742327"/>
          <c:w val="0.787787977803642"/>
          <c:h val="0.704830020800175"/>
        </c:manualLayout>
      </c:layout>
      <c:scatterChart>
        <c:scatterStyle val="lineMarker"/>
        <c:varyColors val="0"/>
        <c:ser>
          <c:idx val="0"/>
          <c:order val="0"/>
          <c:tx>
            <c:v>5 min</c:v>
          </c:tx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BG!$D$2:$D$25</c:f>
              <c:numCache>
                <c:formatCode>General</c:formatCode>
                <c:ptCount val="24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6.0</c:v>
                </c:pt>
                <c:pt idx="15">
                  <c:v>6.0</c:v>
                </c:pt>
                <c:pt idx="16">
                  <c:v>6.0</c:v>
                </c:pt>
                <c:pt idx="17">
                  <c:v>6.0</c:v>
                </c:pt>
                <c:pt idx="18">
                  <c:v>10.0</c:v>
                </c:pt>
                <c:pt idx="20">
                  <c:v>6.0</c:v>
                </c:pt>
                <c:pt idx="21">
                  <c:v>10.0</c:v>
                </c:pt>
                <c:pt idx="22">
                  <c:v>6.0</c:v>
                </c:pt>
                <c:pt idx="23">
                  <c:v>10.0</c:v>
                </c:pt>
              </c:numCache>
            </c:numRef>
          </c:xVal>
          <c:yVal>
            <c:numRef>
              <c:f>BG!$N$2:$N$25</c:f>
              <c:numCache>
                <c:formatCode>General</c:formatCode>
                <c:ptCount val="24"/>
                <c:pt idx="0">
                  <c:v>966.03426067387</c:v>
                </c:pt>
                <c:pt idx="1">
                  <c:v>590.424449846469</c:v>
                </c:pt>
                <c:pt idx="2">
                  <c:v>955.249815753899</c:v>
                </c:pt>
                <c:pt idx="3">
                  <c:v>1058.43289131243</c:v>
                </c:pt>
                <c:pt idx="4">
                  <c:v>507.890260248767</c:v>
                </c:pt>
                <c:pt idx="5">
                  <c:v>1004.66495251808</c:v>
                </c:pt>
                <c:pt idx="7">
                  <c:v>1737.3332997601</c:v>
                </c:pt>
                <c:pt idx="8">
                  <c:v>756.875466148937</c:v>
                </c:pt>
                <c:pt idx="9">
                  <c:v>2023.1377719091</c:v>
                </c:pt>
                <c:pt idx="10">
                  <c:v>1567.91723613312</c:v>
                </c:pt>
                <c:pt idx="11">
                  <c:v>694.923789975952</c:v>
                </c:pt>
                <c:pt idx="12">
                  <c:v>813.106253082775</c:v>
                </c:pt>
                <c:pt idx="13">
                  <c:v>2307.135530912554</c:v>
                </c:pt>
                <c:pt idx="14">
                  <c:v>678.7722494820155</c:v>
                </c:pt>
                <c:pt idx="15">
                  <c:v>1218.098946152048</c:v>
                </c:pt>
                <c:pt idx="16">
                  <c:v>617.784847538705</c:v>
                </c:pt>
                <c:pt idx="17">
                  <c:v>112.068170551651</c:v>
                </c:pt>
                <c:pt idx="18">
                  <c:v>1936.83780107226</c:v>
                </c:pt>
                <c:pt idx="20">
                  <c:v>492.484034919457</c:v>
                </c:pt>
                <c:pt idx="21">
                  <c:v>897.363545032447</c:v>
                </c:pt>
                <c:pt idx="22">
                  <c:v>519.22350954689</c:v>
                </c:pt>
                <c:pt idx="23">
                  <c:v>1106.98899661866</c:v>
                </c:pt>
              </c:numCache>
            </c:numRef>
          </c:yVal>
          <c:smooth val="0"/>
        </c:ser>
        <c:ser>
          <c:idx val="1"/>
          <c:order val="1"/>
          <c:tx>
            <c:v>60 min</c:v>
          </c:tx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BG!$D$2:$D$25</c:f>
              <c:numCache>
                <c:formatCode>General</c:formatCode>
                <c:ptCount val="24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6.0</c:v>
                </c:pt>
                <c:pt idx="15">
                  <c:v>6.0</c:v>
                </c:pt>
                <c:pt idx="16">
                  <c:v>6.0</c:v>
                </c:pt>
                <c:pt idx="17">
                  <c:v>6.0</c:v>
                </c:pt>
                <c:pt idx="18">
                  <c:v>10.0</c:v>
                </c:pt>
                <c:pt idx="20">
                  <c:v>6.0</c:v>
                </c:pt>
                <c:pt idx="21">
                  <c:v>10.0</c:v>
                </c:pt>
                <c:pt idx="22">
                  <c:v>6.0</c:v>
                </c:pt>
                <c:pt idx="23">
                  <c:v>10.0</c:v>
                </c:pt>
              </c:numCache>
            </c:numRef>
          </c:xVal>
          <c:yVal>
            <c:numRef>
              <c:f>BG!$T$2:$T$25</c:f>
              <c:numCache>
                <c:formatCode>General</c:formatCode>
                <c:ptCount val="24"/>
                <c:pt idx="0">
                  <c:v>130.914773255154</c:v>
                </c:pt>
                <c:pt idx="1">
                  <c:v>77.5675013609145</c:v>
                </c:pt>
                <c:pt idx="2">
                  <c:v>173.076611045424</c:v>
                </c:pt>
                <c:pt idx="3">
                  <c:v>158.025217728063</c:v>
                </c:pt>
                <c:pt idx="4">
                  <c:v>115.424571953822</c:v>
                </c:pt>
                <c:pt idx="5">
                  <c:v>286.221997577653</c:v>
                </c:pt>
                <c:pt idx="7">
                  <c:v>272.047233842148</c:v>
                </c:pt>
                <c:pt idx="8">
                  <c:v>83.2415003842383</c:v>
                </c:pt>
                <c:pt idx="9">
                  <c:v>131.135344920155</c:v>
                </c:pt>
                <c:pt idx="10">
                  <c:v>134.873404333456</c:v>
                </c:pt>
                <c:pt idx="11">
                  <c:v>64.08096914141614</c:v>
                </c:pt>
                <c:pt idx="12">
                  <c:v>59.0142100569544</c:v>
                </c:pt>
                <c:pt idx="13">
                  <c:v>370.446495286305</c:v>
                </c:pt>
                <c:pt idx="14">
                  <c:v>183.9726732779675</c:v>
                </c:pt>
                <c:pt idx="15">
                  <c:v>100.35831167309</c:v>
                </c:pt>
                <c:pt idx="16">
                  <c:v>272.1063324673211</c:v>
                </c:pt>
                <c:pt idx="17">
                  <c:v>65.181053245881</c:v>
                </c:pt>
                <c:pt idx="18">
                  <c:v>1052.03831149345</c:v>
                </c:pt>
                <c:pt idx="20">
                  <c:v>53.5949903222134</c:v>
                </c:pt>
                <c:pt idx="21">
                  <c:v>74.5669479606189</c:v>
                </c:pt>
                <c:pt idx="22">
                  <c:v>66.8884754007091</c:v>
                </c:pt>
                <c:pt idx="23">
                  <c:v>51.1399447131997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245224"/>
        <c:axId val="2140237624"/>
      </c:scatterChart>
      <c:valAx>
        <c:axId val="2140245224"/>
        <c:scaling>
          <c:orientation val="minMax"/>
          <c:max val="12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2-NBDG dose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0237624"/>
        <c:crosses val="autoZero"/>
        <c:crossBetween val="midCat"/>
        <c:majorUnit val="2.0"/>
      </c:valAx>
      <c:valAx>
        <c:axId val="2140237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02452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8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44455015736"/>
          <c:y val="0.0941592854742327"/>
          <c:w val="0.780113639352406"/>
          <c:h val="0.719284297079114"/>
        </c:manualLayout>
      </c:layout>
      <c:scatterChart>
        <c:scatterStyle val="lineMarker"/>
        <c:varyColors val="0"/>
        <c:ser>
          <c:idx val="1"/>
          <c:order val="0"/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BG!$D$2:$D$25</c:f>
              <c:numCache>
                <c:formatCode>General</c:formatCode>
                <c:ptCount val="24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6.0</c:v>
                </c:pt>
                <c:pt idx="15">
                  <c:v>6.0</c:v>
                </c:pt>
                <c:pt idx="16">
                  <c:v>6.0</c:v>
                </c:pt>
                <c:pt idx="17">
                  <c:v>6.0</c:v>
                </c:pt>
                <c:pt idx="18">
                  <c:v>10.0</c:v>
                </c:pt>
                <c:pt idx="20">
                  <c:v>6.0</c:v>
                </c:pt>
                <c:pt idx="21">
                  <c:v>10.0</c:v>
                </c:pt>
                <c:pt idx="22">
                  <c:v>6.0</c:v>
                </c:pt>
                <c:pt idx="23">
                  <c:v>10.0</c:v>
                </c:pt>
              </c:numCache>
            </c:numRef>
          </c:xVal>
          <c:yVal>
            <c:numRef>
              <c:f>BG!$AE$2:$AE$25</c:f>
              <c:numCache>
                <c:formatCode>General</c:formatCode>
                <c:ptCount val="24"/>
                <c:pt idx="0">
                  <c:v>25.5576055878703</c:v>
                </c:pt>
                <c:pt idx="1">
                  <c:v>46.7422795704494</c:v>
                </c:pt>
                <c:pt idx="2">
                  <c:v>57.4935939617251</c:v>
                </c:pt>
                <c:pt idx="3">
                  <c:v>36.7846758170349</c:v>
                </c:pt>
                <c:pt idx="4">
                  <c:v>81.41493888695</c:v>
                </c:pt>
                <c:pt idx="5">
                  <c:v>105.738293747198</c:v>
                </c:pt>
                <c:pt idx="7" formatCode="0.00E+00">
                  <c:v>49.937887229484</c:v>
                </c:pt>
                <c:pt idx="8" formatCode="0">
                  <c:v>30.1923619938034</c:v>
                </c:pt>
                <c:pt idx="9" formatCode="0">
                  <c:v>15.8521484283996</c:v>
                </c:pt>
                <c:pt idx="10">
                  <c:v>9.6508409950448</c:v>
                </c:pt>
                <c:pt idx="11">
                  <c:v>19.21758157768076</c:v>
                </c:pt>
                <c:pt idx="12">
                  <c:v>19.7546111827548</c:v>
                </c:pt>
                <c:pt idx="13">
                  <c:v>46.4339124167993</c:v>
                </c:pt>
                <c:pt idx="14">
                  <c:v>131.2277670368147</c:v>
                </c:pt>
                <c:pt idx="15">
                  <c:v>8.760169141352719</c:v>
                </c:pt>
                <c:pt idx="16">
                  <c:v>231.507148593534</c:v>
                </c:pt>
                <c:pt idx="17">
                  <c:v>406.738660559539</c:v>
                </c:pt>
                <c:pt idx="18" formatCode="0">
                  <c:v>105.111939743034</c:v>
                </c:pt>
                <c:pt idx="20">
                  <c:v>30.8754909680132</c:v>
                </c:pt>
                <c:pt idx="21">
                  <c:v>7.55967218734832</c:v>
                </c:pt>
                <c:pt idx="22">
                  <c:v>28.9227629359124</c:v>
                </c:pt>
                <c:pt idx="23">
                  <c:v>10.5864594295972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230456"/>
        <c:axId val="2140225480"/>
      </c:scatterChart>
      <c:valAx>
        <c:axId val="2140230456"/>
        <c:scaling>
          <c:orientation val="minMax"/>
          <c:max val="12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2-NBDG dose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0225480"/>
        <c:crosses val="autoZero"/>
        <c:crossBetween val="midCat"/>
        <c:majorUnit val="2.0"/>
      </c:valAx>
      <c:valAx>
        <c:axId val="2140225480"/>
        <c:scaling>
          <c:orientation val="minMax"/>
          <c:max val="12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Intensity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0230456"/>
        <c:crosses val="autoZero"/>
        <c:crossBetween val="midCat"/>
      </c:valAx>
    </c:plotArea>
    <c:plotVisOnly val="1"/>
    <c:dispBlanksAs val="gap"/>
    <c:showDLblsOverMax val="0"/>
  </c:chart>
  <c:spPr>
    <a:ln>
      <a:solidFill>
        <a:srgbClr val="FFFFFF"/>
      </a:solidFill>
    </a:ln>
  </c:spPr>
  <c:txPr>
    <a:bodyPr/>
    <a:lstStyle/>
    <a:p>
      <a:pPr>
        <a:defRPr sz="28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Corrected NBDG60/RD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BG!$D$71:$D$84</c:f>
              <c:numCache>
                <c:formatCode>General</c:formatCode>
                <c:ptCount val="14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</c:numCache>
            </c:numRef>
          </c:xVal>
          <c:yVal>
            <c:numRef>
              <c:f>BG!$AE$71:$AE$84</c:f>
              <c:numCache>
                <c:formatCode>General</c:formatCode>
                <c:ptCount val="14"/>
                <c:pt idx="0">
                  <c:v>30.8754909680132</c:v>
                </c:pt>
                <c:pt idx="1">
                  <c:v>28.9227629359124</c:v>
                </c:pt>
                <c:pt idx="2">
                  <c:v>21.4432203282767</c:v>
                </c:pt>
                <c:pt idx="3" formatCode="0">
                  <c:v>97.8003126643863</c:v>
                </c:pt>
                <c:pt idx="4" formatCode="0">
                  <c:v>112.477471148756</c:v>
                </c:pt>
                <c:pt idx="5" formatCode="0">
                  <c:v>9.188287345035491</c:v>
                </c:pt>
                <c:pt idx="8">
                  <c:v>7.55967218734832</c:v>
                </c:pt>
                <c:pt idx="9">
                  <c:v>10.5864594295972</c:v>
                </c:pt>
                <c:pt idx="10" formatCode="0">
                  <c:v>71.4246045053219</c:v>
                </c:pt>
                <c:pt idx="11" formatCode="0">
                  <c:v>164.655221409243</c:v>
                </c:pt>
                <c:pt idx="12" formatCode="0.00E+00">
                  <c:v>350.536826038312</c:v>
                </c:pt>
                <c:pt idx="13" formatCode="0">
                  <c:v>8.33205093766995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202792"/>
        <c:axId val="2140199768"/>
      </c:scatterChart>
      <c:valAx>
        <c:axId val="214020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199768"/>
        <c:crosses val="autoZero"/>
        <c:crossBetween val="midCat"/>
      </c:valAx>
      <c:valAx>
        <c:axId val="2140199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202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74698162729658"/>
          <c:y val="0.0555555555555555"/>
          <c:w val="0.864863517060368"/>
          <c:h val="0.84167468649752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BG!$K$91:$U$91</c:f>
              <c:numCache>
                <c:formatCode>General</c:formatCode>
                <c:ptCount val="11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5.0</c:v>
                </c:pt>
                <c:pt idx="4">
                  <c:v>10.0</c:v>
                </c:pt>
                <c:pt idx="5">
                  <c:v>20.0</c:v>
                </c:pt>
                <c:pt idx="6">
                  <c:v>30.0</c:v>
                </c:pt>
                <c:pt idx="7">
                  <c:v>40.0</c:v>
                </c:pt>
                <c:pt idx="8">
                  <c:v>50.0</c:v>
                </c:pt>
                <c:pt idx="9">
                  <c:v>60.0</c:v>
                </c:pt>
                <c:pt idx="10">
                  <c:v>75.0</c:v>
                </c:pt>
              </c:numCache>
            </c:numRef>
          </c:xVal>
          <c:yVal>
            <c:numRef>
              <c:f>BG!$K$89:$U$89</c:f>
              <c:numCache>
                <c:formatCode>General</c:formatCode>
                <c:ptCount val="11"/>
                <c:pt idx="0">
                  <c:v>835.1783499768788</c:v>
                </c:pt>
                <c:pt idx="1">
                  <c:v>978.5358246010918</c:v>
                </c:pt>
                <c:pt idx="2">
                  <c:v>1106.142108987922</c:v>
                </c:pt>
                <c:pt idx="3">
                  <c:v>1277.966916608779</c:v>
                </c:pt>
                <c:pt idx="4">
                  <c:v>1173.851378376074</c:v>
                </c:pt>
                <c:pt idx="5">
                  <c:v>877.4463709388624</c:v>
                </c:pt>
                <c:pt idx="6">
                  <c:v>656.6736806374447</c:v>
                </c:pt>
                <c:pt idx="7">
                  <c:v>485.1440494913643</c:v>
                </c:pt>
                <c:pt idx="8">
                  <c:v>282.4339173586347</c:v>
                </c:pt>
                <c:pt idx="9">
                  <c:v>236.8455137087813</c:v>
                </c:pt>
                <c:pt idx="10">
                  <c:v>117.5286891186708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BG!$K$91:$U$91</c:f>
              <c:numCache>
                <c:formatCode>General</c:formatCode>
                <c:ptCount val="11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5.0</c:v>
                </c:pt>
                <c:pt idx="4">
                  <c:v>10.0</c:v>
                </c:pt>
                <c:pt idx="5">
                  <c:v>20.0</c:v>
                </c:pt>
                <c:pt idx="6">
                  <c:v>30.0</c:v>
                </c:pt>
                <c:pt idx="7">
                  <c:v>40.0</c:v>
                </c:pt>
                <c:pt idx="8">
                  <c:v>50.0</c:v>
                </c:pt>
                <c:pt idx="9">
                  <c:v>60.0</c:v>
                </c:pt>
                <c:pt idx="10">
                  <c:v>75.0</c:v>
                </c:pt>
              </c:numCache>
            </c:numRef>
          </c:xVal>
          <c:yVal>
            <c:numRef>
              <c:f>BG!$K$86:$U$86</c:f>
              <c:numCache>
                <c:formatCode>General</c:formatCode>
                <c:ptCount val="11"/>
                <c:pt idx="0">
                  <c:v>578.3307837129395</c:v>
                </c:pt>
                <c:pt idx="1">
                  <c:v>699.6744589966093</c:v>
                </c:pt>
                <c:pt idx="2">
                  <c:v>774.8881171277241</c:v>
                </c:pt>
                <c:pt idx="3">
                  <c:v>831.9736224392372</c:v>
                </c:pt>
                <c:pt idx="4">
                  <c:v>720.5992251426177</c:v>
                </c:pt>
                <c:pt idx="5">
                  <c:v>454.4518723171828</c:v>
                </c:pt>
                <c:pt idx="6">
                  <c:v>293.8758756881078</c:v>
                </c:pt>
                <c:pt idx="7">
                  <c:v>203.3832714209603</c:v>
                </c:pt>
                <c:pt idx="8">
                  <c:v>151.2637960863442</c:v>
                </c:pt>
                <c:pt idx="9">
                  <c:v>113.1474835922368</c:v>
                </c:pt>
                <c:pt idx="10">
                  <c:v>95.71673214060583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150408"/>
        <c:axId val="2140144952"/>
      </c:scatterChart>
      <c:valAx>
        <c:axId val="214015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44952"/>
        <c:crosses val="autoZero"/>
        <c:crossBetween val="midCat"/>
      </c:valAx>
      <c:valAx>
        <c:axId val="214014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50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6mM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BG!$T$71:$T$76</c:f>
              <c:numCache>
                <c:formatCode>General</c:formatCode>
                <c:ptCount val="6"/>
                <c:pt idx="0">
                  <c:v>53.5949903222134</c:v>
                </c:pt>
                <c:pt idx="1">
                  <c:v>66.8884754007091</c:v>
                </c:pt>
                <c:pt idx="2">
                  <c:v>306.111989269335</c:v>
                </c:pt>
                <c:pt idx="3">
                  <c:v>110.959543726236</c:v>
                </c:pt>
                <c:pt idx="4">
                  <c:v>71.9229623324112</c:v>
                </c:pt>
                <c:pt idx="5">
                  <c:v>69.40694050251609</c:v>
                </c:pt>
              </c:numCache>
            </c:numRef>
          </c:val>
        </c:ser>
        <c:ser>
          <c:idx val="1"/>
          <c:order val="1"/>
          <c:tx>
            <c:v>10mm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BG!$T$79:$T$84</c:f>
              <c:numCache>
                <c:formatCode>General</c:formatCode>
                <c:ptCount val="6"/>
                <c:pt idx="0">
                  <c:v>74.5669479606189</c:v>
                </c:pt>
                <c:pt idx="1">
                  <c:v>51.1399447131997</c:v>
                </c:pt>
                <c:pt idx="2">
                  <c:v>434.781001303275</c:v>
                </c:pt>
                <c:pt idx="3">
                  <c:v>256.985802829699</c:v>
                </c:pt>
                <c:pt idx="4">
                  <c:v>472.289702602231</c:v>
                </c:pt>
                <c:pt idx="5">
                  <c:v>131.309682843664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1974680"/>
        <c:axId val="2141978408"/>
      </c:barChart>
      <c:catAx>
        <c:axId val="2141974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978408"/>
        <c:crosses val="autoZero"/>
        <c:auto val="1"/>
        <c:lblAlgn val="ctr"/>
        <c:lblOffset val="100"/>
        <c:noMultiLvlLbl val="0"/>
      </c:catAx>
      <c:valAx>
        <c:axId val="214197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97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BG!$W$71:$W$76</c:f>
              <c:numCache>
                <c:formatCode>General</c:formatCode>
                <c:ptCount val="6"/>
                <c:pt idx="0">
                  <c:v>1.61493048730529</c:v>
                </c:pt>
                <c:pt idx="1">
                  <c:v>2.20738581217069</c:v>
                </c:pt>
                <c:pt idx="2">
                  <c:v>14.0711431057341</c:v>
                </c:pt>
                <c:pt idx="3">
                  <c:v>1.18638034601255</c:v>
                </c:pt>
                <c:pt idx="4">
                  <c:v>0.592084166597886</c:v>
                </c:pt>
                <c:pt idx="5">
                  <c:v>7.44187892532394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BG!$W$79:$W$84</c:f>
              <c:numCache>
                <c:formatCode>General</c:formatCode>
                <c:ptCount val="6"/>
                <c:pt idx="0">
                  <c:v>9.6684645151817</c:v>
                </c:pt>
                <c:pt idx="1">
                  <c:v>4.63364062023077</c:v>
                </c:pt>
                <c:pt idx="2">
                  <c:v>6.04205855839227</c:v>
                </c:pt>
                <c:pt idx="3">
                  <c:v>1.56105488060452</c:v>
                </c:pt>
                <c:pt idx="4">
                  <c:v>1.34272758324597</c:v>
                </c:pt>
                <c:pt idx="5">
                  <c:v>16.1283126206511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2008456"/>
        <c:axId val="2142012088"/>
      </c:barChart>
      <c:catAx>
        <c:axId val="2142008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012088"/>
        <c:crosses val="autoZero"/>
        <c:auto val="1"/>
        <c:lblAlgn val="ctr"/>
        <c:lblOffset val="100"/>
        <c:noMultiLvlLbl val="0"/>
      </c:catAx>
      <c:valAx>
        <c:axId val="21420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008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star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'Norm Dose (2)'!$I$2:$I$8</c:f>
              <c:numCache>
                <c:formatCode>General</c:formatCode>
                <c:ptCount val="7"/>
                <c:pt idx="0">
                  <c:v>72.0</c:v>
                </c:pt>
                <c:pt idx="1">
                  <c:v>76.0</c:v>
                </c:pt>
                <c:pt idx="2">
                  <c:v>54.0</c:v>
                </c:pt>
                <c:pt idx="3">
                  <c:v>64.0</c:v>
                </c:pt>
                <c:pt idx="4">
                  <c:v>105.0</c:v>
                </c:pt>
                <c:pt idx="5">
                  <c:v>76.0</c:v>
                </c:pt>
                <c:pt idx="6">
                  <c:v>60.0</c:v>
                </c:pt>
              </c:numCache>
            </c:numRef>
          </c:xVal>
          <c:yVal>
            <c:numRef>
              <c:f>'Norm Dose (2)'!$AE$2:$AE$8</c:f>
              <c:numCache>
                <c:formatCode>0</c:formatCode>
                <c:ptCount val="7"/>
                <c:pt idx="0">
                  <c:v>112.477471148756</c:v>
                </c:pt>
                <c:pt idx="1">
                  <c:v>7.16471080340745</c:v>
                </c:pt>
                <c:pt idx="2">
                  <c:v>97.8003126643863</c:v>
                </c:pt>
                <c:pt idx="3" formatCode="General">
                  <c:v>21.4432203282767</c:v>
                </c:pt>
                <c:pt idx="4">
                  <c:v>9.188287345035491</c:v>
                </c:pt>
                <c:pt idx="5" formatCode="General">
                  <c:v>30.8754909680132</c:v>
                </c:pt>
                <c:pt idx="6" formatCode="General">
                  <c:v>28.9227629359124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91320"/>
        <c:axId val="-2112384136"/>
      </c:scatterChart>
      <c:valAx>
        <c:axId val="-2112391320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384136"/>
        <c:crosses val="autoZero"/>
        <c:crossBetween val="midCat"/>
      </c:valAx>
      <c:valAx>
        <c:axId val="-2112384136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2-NBDG60/RD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-2112391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BG!$AE$71:$AE$76</c:f>
              <c:numCache>
                <c:formatCode>General</c:formatCode>
                <c:ptCount val="6"/>
                <c:pt idx="0">
                  <c:v>30.8754909680132</c:v>
                </c:pt>
                <c:pt idx="1">
                  <c:v>28.9227629359124</c:v>
                </c:pt>
                <c:pt idx="2">
                  <c:v>21.4432203282767</c:v>
                </c:pt>
                <c:pt idx="3" formatCode="0">
                  <c:v>97.8003126643863</c:v>
                </c:pt>
                <c:pt idx="4" formatCode="0">
                  <c:v>112.477471148756</c:v>
                </c:pt>
                <c:pt idx="5" formatCode="0">
                  <c:v>9.188287345035491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BG!$AE$79:$AE$84</c:f>
              <c:numCache>
                <c:formatCode>General</c:formatCode>
                <c:ptCount val="6"/>
                <c:pt idx="0">
                  <c:v>7.55967218734832</c:v>
                </c:pt>
                <c:pt idx="1">
                  <c:v>10.5864594295972</c:v>
                </c:pt>
                <c:pt idx="2" formatCode="0">
                  <c:v>71.4246045053219</c:v>
                </c:pt>
                <c:pt idx="3" formatCode="0">
                  <c:v>164.655221409243</c:v>
                </c:pt>
                <c:pt idx="4" formatCode="0.00E+00">
                  <c:v>350.536826038312</c:v>
                </c:pt>
                <c:pt idx="5" formatCode="0">
                  <c:v>8.33205093766995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2026376"/>
        <c:axId val="2142029992"/>
      </c:barChart>
      <c:catAx>
        <c:axId val="2142026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029992"/>
        <c:crosses val="autoZero"/>
        <c:auto val="1"/>
        <c:lblAlgn val="ctr"/>
        <c:lblOffset val="100"/>
        <c:noMultiLvlLbl val="0"/>
      </c:catAx>
      <c:valAx>
        <c:axId val="214202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02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BG!$T$2:$T$17</c:f>
              <c:numCache>
                <c:formatCode>General</c:formatCode>
                <c:ptCount val="16"/>
                <c:pt idx="0">
                  <c:v>130.914773255154</c:v>
                </c:pt>
                <c:pt idx="1">
                  <c:v>77.5675013609145</c:v>
                </c:pt>
                <c:pt idx="2">
                  <c:v>173.076611045424</c:v>
                </c:pt>
                <c:pt idx="3">
                  <c:v>158.025217728063</c:v>
                </c:pt>
                <c:pt idx="4">
                  <c:v>115.424571953822</c:v>
                </c:pt>
                <c:pt idx="5">
                  <c:v>286.221997577653</c:v>
                </c:pt>
                <c:pt idx="7">
                  <c:v>272.047233842148</c:v>
                </c:pt>
                <c:pt idx="8">
                  <c:v>83.2415003842383</c:v>
                </c:pt>
                <c:pt idx="9">
                  <c:v>131.135344920155</c:v>
                </c:pt>
                <c:pt idx="10">
                  <c:v>134.873404333456</c:v>
                </c:pt>
                <c:pt idx="11">
                  <c:v>64.08096914141614</c:v>
                </c:pt>
                <c:pt idx="12">
                  <c:v>59.0142100569544</c:v>
                </c:pt>
                <c:pt idx="13">
                  <c:v>370.446495286305</c:v>
                </c:pt>
                <c:pt idx="14">
                  <c:v>183.9726732779675</c:v>
                </c:pt>
                <c:pt idx="15">
                  <c:v>100.35831167309</c:v>
                </c:pt>
              </c:numCache>
            </c:numRef>
          </c:yVal>
          <c:smooth val="0"/>
        </c:ser>
        <c:ser>
          <c:idx val="1"/>
          <c:order val="1"/>
          <c:tx>
            <c:v>10mM</c:v>
          </c:tx>
          <c:spPr>
            <a:ln w="28575">
              <a:noFill/>
            </a:ln>
          </c:spPr>
          <c:marker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BG!$I$9:$I$12</c:f>
              <c:numCache>
                <c:formatCode>General</c:formatCode>
                <c:ptCount val="4"/>
                <c:pt idx="0">
                  <c:v>46.0</c:v>
                </c:pt>
                <c:pt idx="1">
                  <c:v>82.0</c:v>
                </c:pt>
                <c:pt idx="2">
                  <c:v>82.0</c:v>
                </c:pt>
                <c:pt idx="3">
                  <c:v>92.0</c:v>
                </c:pt>
              </c:numCache>
            </c:numRef>
          </c:xVal>
          <c:yVal>
            <c:numRef>
              <c:f>BG!$T$9:$T$12</c:f>
              <c:numCache>
                <c:formatCode>General</c:formatCode>
                <c:ptCount val="4"/>
                <c:pt idx="0">
                  <c:v>272.047233842148</c:v>
                </c:pt>
                <c:pt idx="1">
                  <c:v>83.2415003842383</c:v>
                </c:pt>
                <c:pt idx="2">
                  <c:v>131.135344920155</c:v>
                </c:pt>
                <c:pt idx="3">
                  <c:v>134.873404333456</c:v>
                </c:pt>
              </c:numCache>
            </c:numRef>
          </c:yVal>
          <c:smooth val="0"/>
        </c:ser>
        <c:ser>
          <c:idx val="2"/>
          <c:order val="2"/>
          <c:tx>
            <c:v>Mean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BG!$I$13:$I$17</c:f>
              <c:numCache>
                <c:formatCode>General</c:formatCode>
                <c:ptCount val="5"/>
                <c:pt idx="0">
                  <c:v>69.0</c:v>
                </c:pt>
                <c:pt idx="1">
                  <c:v>59.5</c:v>
                </c:pt>
                <c:pt idx="2">
                  <c:v>58.0</c:v>
                </c:pt>
                <c:pt idx="3">
                  <c:v>56.5</c:v>
                </c:pt>
                <c:pt idx="4">
                  <c:v>97.5</c:v>
                </c:pt>
              </c:numCache>
            </c:numRef>
          </c:xVal>
          <c:yVal>
            <c:numRef>
              <c:f>BG!$T$13:$T$17</c:f>
              <c:numCache>
                <c:formatCode>General</c:formatCode>
                <c:ptCount val="5"/>
                <c:pt idx="0">
                  <c:v>64.08096914141614</c:v>
                </c:pt>
                <c:pt idx="1">
                  <c:v>59.0142100569544</c:v>
                </c:pt>
                <c:pt idx="2">
                  <c:v>370.446495286305</c:v>
                </c:pt>
                <c:pt idx="3">
                  <c:v>183.9726732779675</c:v>
                </c:pt>
                <c:pt idx="4">
                  <c:v>100.35831167309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453416"/>
        <c:axId val="2142461992"/>
      </c:scatterChart>
      <c:valAx>
        <c:axId val="2142453416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2400"/>
                  <a:t>Blood Glucose </a:t>
                </a:r>
                <a:r>
                  <a:rPr lang="en-US" sz="2400" b="0" i="0" u="none" strike="noStrike" baseline="0">
                    <a:effectLst/>
                  </a:rPr>
                  <a:t>(mg/dL)</a:t>
                </a:r>
                <a:endParaRPr lang="en-US" sz="2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461992"/>
        <c:crosses val="autoZero"/>
        <c:crossBetween val="midCat"/>
      </c:valAx>
      <c:valAx>
        <c:axId val="2142461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2400"/>
                  <a:t>2-NBDG</a:t>
                </a:r>
                <a:r>
                  <a:rPr lang="en-US" sz="2400" baseline="-25000"/>
                  <a:t>60</a:t>
                </a:r>
              </a:p>
            </c:rich>
          </c:tx>
          <c:layout>
            <c:manualLayout>
              <c:xMode val="edge"/>
              <c:yMode val="edge"/>
              <c:x val="0.0071872607783445"/>
              <c:y val="0.1926824024824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453416"/>
        <c:crosses val="autoZero"/>
        <c:crossBetween val="midCat"/>
        <c:majorUnit val="100.0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04202151801738"/>
          <c:y val="0.0422003716631997"/>
          <c:w val="0.281443727846116"/>
          <c:h val="0.245269236082332"/>
        </c:manualLayout>
      </c:layout>
      <c:overlay val="1"/>
      <c:txPr>
        <a:bodyPr/>
        <a:lstStyle/>
        <a:p>
          <a:pPr>
            <a:defRPr sz="2000" b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BG!$W$2:$W$17</c:f>
              <c:numCache>
                <c:formatCode>General</c:formatCode>
                <c:ptCount val="16"/>
                <c:pt idx="0">
                  <c:v>5.25796556454397</c:v>
                </c:pt>
                <c:pt idx="1">
                  <c:v>1.59882276655718</c:v>
                </c:pt>
                <c:pt idx="2">
                  <c:v>3.05526719973376</c:v>
                </c:pt>
                <c:pt idx="3">
                  <c:v>4.30821663155286</c:v>
                </c:pt>
                <c:pt idx="4">
                  <c:v>1.52183021107102</c:v>
                </c:pt>
                <c:pt idx="5">
                  <c:v>2.88360745044461</c:v>
                </c:pt>
                <c:pt idx="7">
                  <c:v>5.4807272099679</c:v>
                </c:pt>
                <c:pt idx="8">
                  <c:v>3.01834050742696</c:v>
                </c:pt>
                <c:pt idx="9">
                  <c:v>8.15911387865729</c:v>
                </c:pt>
                <c:pt idx="10">
                  <c:v>14.0208815636554</c:v>
                </c:pt>
                <c:pt idx="11">
                  <c:v>5.641697501243495</c:v>
                </c:pt>
                <c:pt idx="12">
                  <c:v>3.42051321620073</c:v>
                </c:pt>
                <c:pt idx="13">
                  <c:v>10.05660083206319</c:v>
                </c:pt>
                <c:pt idx="14">
                  <c:v>1.373717613308535</c:v>
                </c:pt>
                <c:pt idx="15">
                  <c:v>11.78509577298752</c:v>
                </c:pt>
              </c:numCache>
            </c:numRef>
          </c:yVal>
          <c:smooth val="0"/>
        </c:ser>
        <c:ser>
          <c:idx val="1"/>
          <c:order val="1"/>
          <c:tx>
            <c:v>10mM</c:v>
          </c:tx>
          <c:spPr>
            <a:ln w="28575">
              <a:noFill/>
            </a:ln>
          </c:spPr>
          <c:marker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BG!$I$9:$I$12</c:f>
              <c:numCache>
                <c:formatCode>General</c:formatCode>
                <c:ptCount val="4"/>
                <c:pt idx="0">
                  <c:v>46.0</c:v>
                </c:pt>
                <c:pt idx="1">
                  <c:v>82.0</c:v>
                </c:pt>
                <c:pt idx="2">
                  <c:v>82.0</c:v>
                </c:pt>
                <c:pt idx="3">
                  <c:v>92.0</c:v>
                </c:pt>
              </c:numCache>
            </c:numRef>
          </c:xVal>
          <c:yVal>
            <c:numRef>
              <c:f>BG!$W$9:$W$12</c:f>
              <c:numCache>
                <c:formatCode>General</c:formatCode>
                <c:ptCount val="4"/>
                <c:pt idx="0">
                  <c:v>5.4807272099679</c:v>
                </c:pt>
                <c:pt idx="1">
                  <c:v>3.01834050742696</c:v>
                </c:pt>
                <c:pt idx="2">
                  <c:v>8.15911387865729</c:v>
                </c:pt>
                <c:pt idx="3">
                  <c:v>14.0208815636554</c:v>
                </c:pt>
              </c:numCache>
            </c:numRef>
          </c:yVal>
          <c:smooth val="0"/>
        </c:ser>
        <c:ser>
          <c:idx val="2"/>
          <c:order val="2"/>
          <c:tx>
            <c:v>6mM &amp; 10mM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BG!$I$13:$I$17</c:f>
              <c:numCache>
                <c:formatCode>General</c:formatCode>
                <c:ptCount val="5"/>
                <c:pt idx="0">
                  <c:v>69.0</c:v>
                </c:pt>
                <c:pt idx="1">
                  <c:v>59.5</c:v>
                </c:pt>
                <c:pt idx="2">
                  <c:v>58.0</c:v>
                </c:pt>
                <c:pt idx="3">
                  <c:v>56.5</c:v>
                </c:pt>
                <c:pt idx="4">
                  <c:v>97.5</c:v>
                </c:pt>
              </c:numCache>
            </c:numRef>
          </c:xVal>
          <c:yVal>
            <c:numRef>
              <c:f>BG!$W$13:$W$17</c:f>
              <c:numCache>
                <c:formatCode>General</c:formatCode>
                <c:ptCount val="5"/>
                <c:pt idx="0">
                  <c:v>5.641697501243495</c:v>
                </c:pt>
                <c:pt idx="1">
                  <c:v>3.42051321620073</c:v>
                </c:pt>
                <c:pt idx="2">
                  <c:v>10.05660083206319</c:v>
                </c:pt>
                <c:pt idx="3">
                  <c:v>1.373717613308535</c:v>
                </c:pt>
                <c:pt idx="4">
                  <c:v>11.78509577298752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500536"/>
        <c:axId val="2142509448"/>
      </c:scatterChart>
      <c:valAx>
        <c:axId val="2142500536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800" b="0" i="0" baseline="0">
                    <a:effectLst/>
                  </a:rPr>
                  <a:t>Blood Glucose (mg/dL)</a:t>
                </a:r>
                <a:endParaRPr lang="en-US" sz="18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509448"/>
        <c:crosses val="autoZero"/>
        <c:crossBetween val="midCat"/>
      </c:valAx>
      <c:valAx>
        <c:axId val="2142509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800"/>
                  <a:t>R</a:t>
                </a:r>
                <a:r>
                  <a:rPr lang="en-US" sz="1800" baseline="-25000"/>
                  <a:t>D </a:t>
                </a:r>
                <a:r>
                  <a:rPr lang="en-US" sz="1800" baseline="0"/>
                  <a:t>(s</a:t>
                </a:r>
                <a:r>
                  <a:rPr lang="en-US" sz="1800" baseline="30000"/>
                  <a:t>-1</a:t>
                </a:r>
                <a:r>
                  <a:rPr lang="en-US" sz="1800" baseline="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500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73574908739856"/>
          <c:y val="0.00101022528433946"/>
          <c:w val="0.290232536822885"/>
          <c:h val="0.245012638358408"/>
        </c:manualLayout>
      </c:layout>
      <c:overlay val="1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297025371829"/>
          <c:y val="0.0507027053077307"/>
          <c:w val="0.675682414698163"/>
          <c:h val="0.72087845647988"/>
        </c:manualLayout>
      </c:layout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BG!$AE$2:$AE$17</c:f>
              <c:numCache>
                <c:formatCode>General</c:formatCode>
                <c:ptCount val="16"/>
                <c:pt idx="0">
                  <c:v>25.5576055878703</c:v>
                </c:pt>
                <c:pt idx="1">
                  <c:v>46.7422795704494</c:v>
                </c:pt>
                <c:pt idx="2">
                  <c:v>57.4935939617251</c:v>
                </c:pt>
                <c:pt idx="3">
                  <c:v>36.7846758170349</c:v>
                </c:pt>
                <c:pt idx="4">
                  <c:v>81.41493888695</c:v>
                </c:pt>
                <c:pt idx="5">
                  <c:v>105.738293747198</c:v>
                </c:pt>
                <c:pt idx="7" formatCode="0.00E+00">
                  <c:v>49.937887229484</c:v>
                </c:pt>
                <c:pt idx="8" formatCode="0">
                  <c:v>30.1923619938034</c:v>
                </c:pt>
                <c:pt idx="9" formatCode="0">
                  <c:v>15.8521484283996</c:v>
                </c:pt>
                <c:pt idx="10">
                  <c:v>9.6508409950448</c:v>
                </c:pt>
                <c:pt idx="11">
                  <c:v>19.21758157768076</c:v>
                </c:pt>
                <c:pt idx="12">
                  <c:v>19.7546111827548</c:v>
                </c:pt>
                <c:pt idx="13">
                  <c:v>46.4339124167993</c:v>
                </c:pt>
                <c:pt idx="14">
                  <c:v>131.2277670368147</c:v>
                </c:pt>
                <c:pt idx="15">
                  <c:v>8.760169141352719</c:v>
                </c:pt>
              </c:numCache>
            </c:numRef>
          </c:yVal>
          <c:smooth val="0"/>
        </c:ser>
        <c:ser>
          <c:idx val="1"/>
          <c:order val="1"/>
          <c:tx>
            <c:v>10mM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BG!$I$9:$I$12</c:f>
              <c:numCache>
                <c:formatCode>General</c:formatCode>
                <c:ptCount val="4"/>
                <c:pt idx="0">
                  <c:v>46.0</c:v>
                </c:pt>
                <c:pt idx="1">
                  <c:v>82.0</c:v>
                </c:pt>
                <c:pt idx="2">
                  <c:v>82.0</c:v>
                </c:pt>
                <c:pt idx="3">
                  <c:v>92.0</c:v>
                </c:pt>
              </c:numCache>
            </c:numRef>
          </c:xVal>
          <c:yVal>
            <c:numRef>
              <c:f>BG!$AE$9:$AE$12</c:f>
              <c:numCache>
                <c:formatCode>0</c:formatCode>
                <c:ptCount val="4"/>
                <c:pt idx="0" formatCode="0.00E+00">
                  <c:v>49.937887229484</c:v>
                </c:pt>
                <c:pt idx="1">
                  <c:v>30.1923619938034</c:v>
                </c:pt>
                <c:pt idx="2">
                  <c:v>15.8521484283996</c:v>
                </c:pt>
                <c:pt idx="3" formatCode="General">
                  <c:v>9.6508409950448</c:v>
                </c:pt>
              </c:numCache>
            </c:numRef>
          </c:yVal>
          <c:smooth val="0"/>
        </c:ser>
        <c:ser>
          <c:idx val="2"/>
          <c:order val="2"/>
          <c:tx>
            <c:v>Mean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BG!$I$13:$I$17</c:f>
              <c:numCache>
                <c:formatCode>General</c:formatCode>
                <c:ptCount val="5"/>
                <c:pt idx="0">
                  <c:v>69.0</c:v>
                </c:pt>
                <c:pt idx="1">
                  <c:v>59.5</c:v>
                </c:pt>
                <c:pt idx="2">
                  <c:v>58.0</c:v>
                </c:pt>
                <c:pt idx="3">
                  <c:v>56.5</c:v>
                </c:pt>
                <c:pt idx="4">
                  <c:v>97.5</c:v>
                </c:pt>
              </c:numCache>
            </c:numRef>
          </c:xVal>
          <c:yVal>
            <c:numRef>
              <c:f>BG!$AE$13:$AE$17</c:f>
              <c:numCache>
                <c:formatCode>General</c:formatCode>
                <c:ptCount val="5"/>
                <c:pt idx="0">
                  <c:v>19.21758157768076</c:v>
                </c:pt>
                <c:pt idx="1">
                  <c:v>19.7546111827548</c:v>
                </c:pt>
                <c:pt idx="2">
                  <c:v>46.4339124167993</c:v>
                </c:pt>
                <c:pt idx="3">
                  <c:v>131.2277670368147</c:v>
                </c:pt>
                <c:pt idx="4">
                  <c:v>8.760169141352719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551992"/>
        <c:axId val="2142560200"/>
      </c:scatterChart>
      <c:valAx>
        <c:axId val="2142551992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vert="horz"/>
              <a:lstStyle/>
              <a:p>
                <a:pPr algn="ctr" rtl="0">
                  <a:defRPr/>
                </a:pPr>
                <a:r>
                  <a:rPr lang="en-US"/>
                  <a:t>Blood Glucose (mg/dL)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2560200"/>
        <c:crosses val="autoZero"/>
        <c:crossBetween val="midCat"/>
      </c:valAx>
      <c:valAx>
        <c:axId val="2142560200"/>
        <c:scaling>
          <c:orientation val="minMax"/>
          <c:max val="2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</a:t>
                </a:r>
                <a:r>
                  <a:rPr lang="en-US" baseline="-25000"/>
                  <a:t>60</a:t>
                </a:r>
                <a:r>
                  <a:rPr lang="en-US"/>
                  <a:t>/R</a:t>
                </a:r>
                <a:r>
                  <a:rPr lang="en-US" baseline="-25000"/>
                  <a:t>D</a:t>
                </a:r>
              </a:p>
            </c:rich>
          </c:tx>
          <c:layout>
            <c:manualLayout>
              <c:xMode val="edge"/>
              <c:yMode val="edge"/>
              <c:x val="0.0113774137711404"/>
              <c:y val="0.2202405949256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2551992"/>
        <c:crosses val="autoZero"/>
        <c:crossBetween val="midCat"/>
        <c:majorUnit val="40.0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64976058987059"/>
          <c:y val="0.0378444881889764"/>
          <c:w val="0.302150819736305"/>
          <c:h val="0.245012638358408"/>
        </c:manualLayout>
      </c:layout>
      <c:overlay val="1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BG!$AE$2:$AE$17</c:f>
              <c:numCache>
                <c:formatCode>General</c:formatCode>
                <c:ptCount val="16"/>
                <c:pt idx="0">
                  <c:v>25.5576055878703</c:v>
                </c:pt>
                <c:pt idx="1">
                  <c:v>46.7422795704494</c:v>
                </c:pt>
                <c:pt idx="2">
                  <c:v>57.4935939617251</c:v>
                </c:pt>
                <c:pt idx="3">
                  <c:v>36.7846758170349</c:v>
                </c:pt>
                <c:pt idx="4">
                  <c:v>81.41493888695</c:v>
                </c:pt>
                <c:pt idx="5">
                  <c:v>105.738293747198</c:v>
                </c:pt>
                <c:pt idx="7" formatCode="0.00E+00">
                  <c:v>49.937887229484</c:v>
                </c:pt>
                <c:pt idx="8" formatCode="0">
                  <c:v>30.1923619938034</c:v>
                </c:pt>
                <c:pt idx="9" formatCode="0">
                  <c:v>15.8521484283996</c:v>
                </c:pt>
                <c:pt idx="10">
                  <c:v>9.6508409950448</c:v>
                </c:pt>
                <c:pt idx="11">
                  <c:v>19.21758157768076</c:v>
                </c:pt>
                <c:pt idx="12">
                  <c:v>19.7546111827548</c:v>
                </c:pt>
                <c:pt idx="13">
                  <c:v>46.4339124167993</c:v>
                </c:pt>
                <c:pt idx="14">
                  <c:v>131.2277670368147</c:v>
                </c:pt>
                <c:pt idx="15">
                  <c:v>8.760169141352719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135288"/>
        <c:axId val="2142142200"/>
      </c:scatterChart>
      <c:valAx>
        <c:axId val="2142135288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600"/>
                  <a:t>Blood Glucose </a:t>
                </a:r>
                <a:r>
                  <a:rPr lang="en-US" sz="1600" b="0" i="0" baseline="0">
                    <a:effectLst/>
                  </a:rPr>
                  <a:t>(mg/dL)</a:t>
                </a:r>
                <a:endParaRPr lang="en-US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142200"/>
        <c:crosses val="autoZero"/>
        <c:crossBetween val="midCat"/>
      </c:valAx>
      <c:valAx>
        <c:axId val="2142142200"/>
        <c:scaling>
          <c:orientation val="minMax"/>
          <c:max val="20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2-NBDG</a:t>
                </a:r>
                <a:r>
                  <a:rPr lang="en-US" baseline="-25000"/>
                  <a:t>60</a:t>
                </a:r>
                <a:r>
                  <a:rPr lang="en-US"/>
                  <a:t>/R</a:t>
                </a:r>
                <a:r>
                  <a:rPr lang="en-US" baseline="-25000"/>
                  <a:t>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135288"/>
        <c:crosses val="autoZero"/>
        <c:crossBetween val="midCat"/>
        <c:majorUnit val="4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BG!$T$2:$T$17</c:f>
              <c:numCache>
                <c:formatCode>General</c:formatCode>
                <c:ptCount val="16"/>
                <c:pt idx="0">
                  <c:v>130.914773255154</c:v>
                </c:pt>
                <c:pt idx="1">
                  <c:v>77.5675013609145</c:v>
                </c:pt>
                <c:pt idx="2">
                  <c:v>173.076611045424</c:v>
                </c:pt>
                <c:pt idx="3">
                  <c:v>158.025217728063</c:v>
                </c:pt>
                <c:pt idx="4">
                  <c:v>115.424571953822</c:v>
                </c:pt>
                <c:pt idx="5">
                  <c:v>286.221997577653</c:v>
                </c:pt>
                <c:pt idx="7">
                  <c:v>272.047233842148</c:v>
                </c:pt>
                <c:pt idx="8">
                  <c:v>83.2415003842383</c:v>
                </c:pt>
                <c:pt idx="9">
                  <c:v>131.135344920155</c:v>
                </c:pt>
                <c:pt idx="10">
                  <c:v>134.873404333456</c:v>
                </c:pt>
                <c:pt idx="11">
                  <c:v>64.08096914141614</c:v>
                </c:pt>
                <c:pt idx="12">
                  <c:v>59.0142100569544</c:v>
                </c:pt>
                <c:pt idx="13">
                  <c:v>370.446495286305</c:v>
                </c:pt>
                <c:pt idx="14">
                  <c:v>183.9726732779675</c:v>
                </c:pt>
                <c:pt idx="15">
                  <c:v>100.35831167309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687992"/>
        <c:axId val="2142694600"/>
      </c:scatterChart>
      <c:valAx>
        <c:axId val="2142687992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600"/>
                  <a:t>Blood Glucose </a:t>
                </a:r>
                <a:r>
                  <a:rPr lang="en-US" sz="1600" b="0" i="0" u="none" strike="noStrike" baseline="0">
                    <a:effectLst/>
                  </a:rPr>
                  <a:t>(mg/dL)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694600"/>
        <c:crosses val="autoZero"/>
        <c:crossBetween val="midCat"/>
      </c:valAx>
      <c:valAx>
        <c:axId val="2142694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600"/>
                  <a:t>2-NBDG</a:t>
                </a:r>
                <a:r>
                  <a:rPr lang="en-US" sz="1600" baseline="-25000"/>
                  <a:t>60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687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BG!$I$2:$I$17</c:f>
              <c:numCache>
                <c:formatCode>General</c:formatCode>
                <c:ptCount val="16"/>
                <c:pt idx="0">
                  <c:v>88.0</c:v>
                </c:pt>
                <c:pt idx="1">
                  <c:v>76.0</c:v>
                </c:pt>
                <c:pt idx="2">
                  <c:v>73.0</c:v>
                </c:pt>
                <c:pt idx="3">
                  <c:v>83.0</c:v>
                </c:pt>
                <c:pt idx="4">
                  <c:v>65.0</c:v>
                </c:pt>
                <c:pt idx="5">
                  <c:v>60.0</c:v>
                </c:pt>
                <c:pt idx="7">
                  <c:v>46.0</c:v>
                </c:pt>
                <c:pt idx="8">
                  <c:v>82.0</c:v>
                </c:pt>
                <c:pt idx="9">
                  <c:v>82.0</c:v>
                </c:pt>
                <c:pt idx="10">
                  <c:v>92.0</c:v>
                </c:pt>
                <c:pt idx="11">
                  <c:v>69.0</c:v>
                </c:pt>
                <c:pt idx="12">
                  <c:v>59.5</c:v>
                </c:pt>
                <c:pt idx="13">
                  <c:v>58.0</c:v>
                </c:pt>
                <c:pt idx="14">
                  <c:v>56.5</c:v>
                </c:pt>
                <c:pt idx="15">
                  <c:v>97.5</c:v>
                </c:pt>
              </c:numCache>
            </c:numRef>
          </c:xVal>
          <c:yVal>
            <c:numRef>
              <c:f>BG!$W$2:$W$17</c:f>
              <c:numCache>
                <c:formatCode>General</c:formatCode>
                <c:ptCount val="16"/>
                <c:pt idx="0">
                  <c:v>5.25796556454397</c:v>
                </c:pt>
                <c:pt idx="1">
                  <c:v>1.59882276655718</c:v>
                </c:pt>
                <c:pt idx="2">
                  <c:v>3.05526719973376</c:v>
                </c:pt>
                <c:pt idx="3">
                  <c:v>4.30821663155286</c:v>
                </c:pt>
                <c:pt idx="4">
                  <c:v>1.52183021107102</c:v>
                </c:pt>
                <c:pt idx="5">
                  <c:v>2.88360745044461</c:v>
                </c:pt>
                <c:pt idx="7">
                  <c:v>5.4807272099679</c:v>
                </c:pt>
                <c:pt idx="8">
                  <c:v>3.01834050742696</c:v>
                </c:pt>
                <c:pt idx="9">
                  <c:v>8.15911387865729</c:v>
                </c:pt>
                <c:pt idx="10">
                  <c:v>14.0208815636554</c:v>
                </c:pt>
                <c:pt idx="11">
                  <c:v>5.641697501243495</c:v>
                </c:pt>
                <c:pt idx="12">
                  <c:v>3.42051321620073</c:v>
                </c:pt>
                <c:pt idx="13">
                  <c:v>10.05660083206319</c:v>
                </c:pt>
                <c:pt idx="14">
                  <c:v>1.373717613308535</c:v>
                </c:pt>
                <c:pt idx="15">
                  <c:v>11.78509577298752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740168"/>
        <c:axId val="2142746712"/>
      </c:scatterChart>
      <c:valAx>
        <c:axId val="2142740168"/>
        <c:scaling>
          <c:orientation val="minMax"/>
          <c:max val="100.0"/>
          <c:min val="4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600" b="0" i="0" baseline="0">
                    <a:effectLst/>
                  </a:rPr>
                  <a:t>Blood Glucose (mg/dL)</a:t>
                </a:r>
                <a:endParaRPr lang="en-US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746712"/>
        <c:crosses val="autoZero"/>
        <c:crossBetween val="midCat"/>
      </c:valAx>
      <c:valAx>
        <c:axId val="2142746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R</a:t>
                </a:r>
                <a:r>
                  <a:rPr lang="en-US" baseline="-25000"/>
                  <a:t>D </a:t>
                </a:r>
                <a:r>
                  <a:rPr lang="en-US" baseline="0"/>
                  <a:t>(s</a:t>
                </a:r>
                <a:r>
                  <a:rPr lang="en-US" baseline="30000"/>
                  <a:t>-1</a:t>
                </a:r>
                <a:r>
                  <a:rPr lang="en-US" baseline="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740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570235210791"/>
          <c:y val="0.101851851851852"/>
          <c:w val="0.660769875118394"/>
          <c:h val="0.67169728783902"/>
        </c:manualLayout>
      </c:layout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BG!$W$2:$W$17</c:f>
              <c:numCache>
                <c:formatCode>General</c:formatCode>
                <c:ptCount val="16"/>
                <c:pt idx="0">
                  <c:v>5.25796556454397</c:v>
                </c:pt>
                <c:pt idx="1">
                  <c:v>1.59882276655718</c:v>
                </c:pt>
                <c:pt idx="2">
                  <c:v>3.05526719973376</c:v>
                </c:pt>
                <c:pt idx="3">
                  <c:v>4.30821663155286</c:v>
                </c:pt>
                <c:pt idx="4">
                  <c:v>1.52183021107102</c:v>
                </c:pt>
                <c:pt idx="5">
                  <c:v>2.88360745044461</c:v>
                </c:pt>
                <c:pt idx="7">
                  <c:v>5.4807272099679</c:v>
                </c:pt>
                <c:pt idx="8">
                  <c:v>3.01834050742696</c:v>
                </c:pt>
                <c:pt idx="9">
                  <c:v>8.15911387865729</c:v>
                </c:pt>
                <c:pt idx="10">
                  <c:v>14.0208815636554</c:v>
                </c:pt>
                <c:pt idx="11">
                  <c:v>5.641697501243495</c:v>
                </c:pt>
                <c:pt idx="12">
                  <c:v>3.42051321620073</c:v>
                </c:pt>
                <c:pt idx="13">
                  <c:v>10.05660083206319</c:v>
                </c:pt>
                <c:pt idx="14">
                  <c:v>1.373717613308535</c:v>
                </c:pt>
                <c:pt idx="15">
                  <c:v>11.78509577298752</c:v>
                </c:pt>
              </c:numCache>
            </c:numRef>
          </c:xVal>
          <c:yVal>
            <c:numRef>
              <c:f>BG!$N$2:$N$17</c:f>
              <c:numCache>
                <c:formatCode>General</c:formatCode>
                <c:ptCount val="16"/>
                <c:pt idx="0">
                  <c:v>966.03426067387</c:v>
                </c:pt>
                <c:pt idx="1">
                  <c:v>590.424449846469</c:v>
                </c:pt>
                <c:pt idx="2">
                  <c:v>955.249815753899</c:v>
                </c:pt>
                <c:pt idx="3">
                  <c:v>1058.43289131243</c:v>
                </c:pt>
                <c:pt idx="4">
                  <c:v>507.890260248767</c:v>
                </c:pt>
                <c:pt idx="5">
                  <c:v>1004.66495251808</c:v>
                </c:pt>
                <c:pt idx="7">
                  <c:v>1737.3332997601</c:v>
                </c:pt>
                <c:pt idx="8">
                  <c:v>756.875466148937</c:v>
                </c:pt>
                <c:pt idx="9">
                  <c:v>2023.1377719091</c:v>
                </c:pt>
                <c:pt idx="10">
                  <c:v>1567.91723613312</c:v>
                </c:pt>
                <c:pt idx="11">
                  <c:v>694.923789975952</c:v>
                </c:pt>
                <c:pt idx="12">
                  <c:v>813.106253082775</c:v>
                </c:pt>
                <c:pt idx="13">
                  <c:v>2307.135530912554</c:v>
                </c:pt>
                <c:pt idx="14">
                  <c:v>678.7722494820155</c:v>
                </c:pt>
                <c:pt idx="15">
                  <c:v>1218.098946152048</c:v>
                </c:pt>
              </c:numCache>
            </c:numRef>
          </c:yVal>
          <c:smooth val="0"/>
        </c:ser>
        <c:ser>
          <c:idx val="1"/>
          <c:order val="1"/>
          <c:tx>
            <c:v>10mM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BG!$W$9:$W$12</c:f>
              <c:numCache>
                <c:formatCode>General</c:formatCode>
                <c:ptCount val="4"/>
                <c:pt idx="0">
                  <c:v>5.4807272099679</c:v>
                </c:pt>
                <c:pt idx="1">
                  <c:v>3.01834050742696</c:v>
                </c:pt>
                <c:pt idx="2">
                  <c:v>8.15911387865729</c:v>
                </c:pt>
                <c:pt idx="3">
                  <c:v>14.0208815636554</c:v>
                </c:pt>
              </c:numCache>
            </c:numRef>
          </c:xVal>
          <c:yVal>
            <c:numRef>
              <c:f>BG!$N$9:$N$12</c:f>
              <c:numCache>
                <c:formatCode>General</c:formatCode>
                <c:ptCount val="4"/>
                <c:pt idx="0">
                  <c:v>1737.3332997601</c:v>
                </c:pt>
                <c:pt idx="1">
                  <c:v>756.875466148937</c:v>
                </c:pt>
                <c:pt idx="2">
                  <c:v>2023.1377719091</c:v>
                </c:pt>
                <c:pt idx="3">
                  <c:v>1567.91723613312</c:v>
                </c:pt>
              </c:numCache>
            </c:numRef>
          </c:yVal>
          <c:smooth val="0"/>
        </c:ser>
        <c:ser>
          <c:idx val="2"/>
          <c:order val="2"/>
          <c:tx>
            <c:v>Mean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BG!$W$13:$W$17</c:f>
              <c:numCache>
                <c:formatCode>General</c:formatCode>
                <c:ptCount val="5"/>
                <c:pt idx="0">
                  <c:v>5.641697501243495</c:v>
                </c:pt>
                <c:pt idx="1">
                  <c:v>3.42051321620073</c:v>
                </c:pt>
                <c:pt idx="2">
                  <c:v>10.05660083206319</c:v>
                </c:pt>
                <c:pt idx="3">
                  <c:v>1.373717613308535</c:v>
                </c:pt>
                <c:pt idx="4">
                  <c:v>11.78509577298752</c:v>
                </c:pt>
              </c:numCache>
            </c:numRef>
          </c:xVal>
          <c:yVal>
            <c:numRef>
              <c:f>BG!$N$13:$N$17</c:f>
              <c:numCache>
                <c:formatCode>General</c:formatCode>
                <c:ptCount val="5"/>
                <c:pt idx="0">
                  <c:v>694.923789975952</c:v>
                </c:pt>
                <c:pt idx="1">
                  <c:v>813.106253082775</c:v>
                </c:pt>
                <c:pt idx="2">
                  <c:v>2307.135530912554</c:v>
                </c:pt>
                <c:pt idx="3">
                  <c:v>678.7722494820155</c:v>
                </c:pt>
                <c:pt idx="4">
                  <c:v>1218.098946152048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775256"/>
        <c:axId val="2142783960"/>
      </c:scatterChart>
      <c:valAx>
        <c:axId val="21427752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</a:t>
                </a:r>
                <a:r>
                  <a:rPr lang="en-US" baseline="-25000"/>
                  <a:t>D</a:t>
                </a:r>
                <a:r>
                  <a:rPr lang="en-US"/>
                  <a:t> (s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2783960"/>
        <c:crosses val="autoZero"/>
        <c:crossBetween val="midCat"/>
      </c:valAx>
      <c:valAx>
        <c:axId val="2142783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</a:t>
                </a:r>
                <a:r>
                  <a:rPr lang="en-US" baseline="-25000"/>
                  <a:t>05</a:t>
                </a:r>
              </a:p>
            </c:rich>
          </c:tx>
          <c:layout>
            <c:manualLayout>
              <c:xMode val="edge"/>
              <c:yMode val="edge"/>
              <c:x val="0.0"/>
              <c:y val="0.2007143684904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2775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08102091862657"/>
          <c:y val="0.484187809857101"/>
          <c:w val="0.281443727846116"/>
          <c:h val="0.245269236082332"/>
        </c:manualLayout>
      </c:layout>
      <c:overlay val="1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6mM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BG!$W$2:$W$17</c:f>
              <c:numCache>
                <c:formatCode>General</c:formatCode>
                <c:ptCount val="16"/>
                <c:pt idx="0">
                  <c:v>5.25796556454397</c:v>
                </c:pt>
                <c:pt idx="1">
                  <c:v>1.59882276655718</c:v>
                </c:pt>
                <c:pt idx="2">
                  <c:v>3.05526719973376</c:v>
                </c:pt>
                <c:pt idx="3">
                  <c:v>4.30821663155286</c:v>
                </c:pt>
                <c:pt idx="4">
                  <c:v>1.52183021107102</c:v>
                </c:pt>
                <c:pt idx="5">
                  <c:v>2.88360745044461</c:v>
                </c:pt>
                <c:pt idx="7">
                  <c:v>5.4807272099679</c:v>
                </c:pt>
                <c:pt idx="8">
                  <c:v>3.01834050742696</c:v>
                </c:pt>
                <c:pt idx="9">
                  <c:v>8.15911387865729</c:v>
                </c:pt>
                <c:pt idx="10">
                  <c:v>14.0208815636554</c:v>
                </c:pt>
                <c:pt idx="11">
                  <c:v>5.641697501243495</c:v>
                </c:pt>
                <c:pt idx="12">
                  <c:v>3.42051321620073</c:v>
                </c:pt>
                <c:pt idx="13">
                  <c:v>10.05660083206319</c:v>
                </c:pt>
                <c:pt idx="14">
                  <c:v>1.373717613308535</c:v>
                </c:pt>
                <c:pt idx="15">
                  <c:v>11.78509577298752</c:v>
                </c:pt>
              </c:numCache>
            </c:numRef>
          </c:xVal>
          <c:yVal>
            <c:numRef>
              <c:f>BG!$T$2:$T$17</c:f>
              <c:numCache>
                <c:formatCode>General</c:formatCode>
                <c:ptCount val="16"/>
                <c:pt idx="0">
                  <c:v>130.914773255154</c:v>
                </c:pt>
                <c:pt idx="1">
                  <c:v>77.5675013609145</c:v>
                </c:pt>
                <c:pt idx="2">
                  <c:v>173.076611045424</c:v>
                </c:pt>
                <c:pt idx="3">
                  <c:v>158.025217728063</c:v>
                </c:pt>
                <c:pt idx="4">
                  <c:v>115.424571953822</c:v>
                </c:pt>
                <c:pt idx="5">
                  <c:v>286.221997577653</c:v>
                </c:pt>
                <c:pt idx="7">
                  <c:v>272.047233842148</c:v>
                </c:pt>
                <c:pt idx="8">
                  <c:v>83.2415003842383</c:v>
                </c:pt>
                <c:pt idx="9">
                  <c:v>131.135344920155</c:v>
                </c:pt>
                <c:pt idx="10">
                  <c:v>134.873404333456</c:v>
                </c:pt>
                <c:pt idx="11">
                  <c:v>64.08096914141614</c:v>
                </c:pt>
                <c:pt idx="12">
                  <c:v>59.0142100569544</c:v>
                </c:pt>
                <c:pt idx="13">
                  <c:v>370.446495286305</c:v>
                </c:pt>
                <c:pt idx="14">
                  <c:v>183.9726732779675</c:v>
                </c:pt>
                <c:pt idx="15">
                  <c:v>100.35831167309</c:v>
                </c:pt>
              </c:numCache>
            </c:numRef>
          </c:yVal>
          <c:smooth val="0"/>
        </c:ser>
        <c:ser>
          <c:idx val="1"/>
          <c:order val="1"/>
          <c:tx>
            <c:v>10mM</c:v>
          </c:tx>
          <c:spPr>
            <a:ln w="28575">
              <a:noFill/>
            </a:ln>
          </c:spPr>
          <c:marker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BG!$W$9:$W$12</c:f>
              <c:numCache>
                <c:formatCode>General</c:formatCode>
                <c:ptCount val="4"/>
                <c:pt idx="0">
                  <c:v>5.4807272099679</c:v>
                </c:pt>
                <c:pt idx="1">
                  <c:v>3.01834050742696</c:v>
                </c:pt>
                <c:pt idx="2">
                  <c:v>8.15911387865729</c:v>
                </c:pt>
                <c:pt idx="3">
                  <c:v>14.0208815636554</c:v>
                </c:pt>
              </c:numCache>
            </c:numRef>
          </c:xVal>
          <c:yVal>
            <c:numRef>
              <c:f>BG!$T$9:$T$12</c:f>
              <c:numCache>
                <c:formatCode>General</c:formatCode>
                <c:ptCount val="4"/>
                <c:pt idx="0">
                  <c:v>272.047233842148</c:v>
                </c:pt>
                <c:pt idx="1">
                  <c:v>83.2415003842383</c:v>
                </c:pt>
                <c:pt idx="2">
                  <c:v>131.135344920155</c:v>
                </c:pt>
                <c:pt idx="3">
                  <c:v>134.873404333456</c:v>
                </c:pt>
              </c:numCache>
            </c:numRef>
          </c:yVal>
          <c:smooth val="0"/>
        </c:ser>
        <c:ser>
          <c:idx val="2"/>
          <c:order val="2"/>
          <c:tx>
            <c:v>Mean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BG!$W$13:$W$17</c:f>
              <c:numCache>
                <c:formatCode>General</c:formatCode>
                <c:ptCount val="5"/>
                <c:pt idx="0">
                  <c:v>5.641697501243495</c:v>
                </c:pt>
                <c:pt idx="1">
                  <c:v>3.42051321620073</c:v>
                </c:pt>
                <c:pt idx="2">
                  <c:v>10.05660083206319</c:v>
                </c:pt>
                <c:pt idx="3">
                  <c:v>1.373717613308535</c:v>
                </c:pt>
                <c:pt idx="4">
                  <c:v>11.78509577298752</c:v>
                </c:pt>
              </c:numCache>
            </c:numRef>
          </c:xVal>
          <c:yVal>
            <c:numRef>
              <c:f>BG!$T$13:$T$17</c:f>
              <c:numCache>
                <c:formatCode>General</c:formatCode>
                <c:ptCount val="5"/>
                <c:pt idx="0">
                  <c:v>64.08096914141614</c:v>
                </c:pt>
                <c:pt idx="1">
                  <c:v>59.0142100569544</c:v>
                </c:pt>
                <c:pt idx="2">
                  <c:v>370.446495286305</c:v>
                </c:pt>
                <c:pt idx="3">
                  <c:v>183.9726732779675</c:v>
                </c:pt>
                <c:pt idx="4">
                  <c:v>100.35831167309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879240"/>
        <c:axId val="2142888008"/>
      </c:scatterChart>
      <c:valAx>
        <c:axId val="214287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800"/>
                  <a:t>R</a:t>
                </a:r>
                <a:r>
                  <a:rPr lang="en-US" sz="1800" baseline="-25000"/>
                  <a:t>D</a:t>
                </a:r>
                <a:r>
                  <a:rPr lang="en-US" sz="1800"/>
                  <a:t> (s</a:t>
                </a:r>
                <a:r>
                  <a:rPr lang="en-US" sz="1800" baseline="30000"/>
                  <a:t>-1</a:t>
                </a:r>
                <a:r>
                  <a:rPr lang="en-US" sz="18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888008"/>
        <c:crosses val="autoZero"/>
        <c:crossBetween val="midCat"/>
      </c:valAx>
      <c:valAx>
        <c:axId val="2142888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800"/>
                  <a:t>2-NBDG</a:t>
                </a:r>
                <a:r>
                  <a:rPr lang="en-US" sz="1800" baseline="-25000"/>
                  <a:t>60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2142879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61700238028495"/>
          <c:y val="0.00724167934951508"/>
          <c:w val="0.226341367345237"/>
          <c:h val="0.245269236082332"/>
        </c:manualLayout>
      </c:layout>
      <c:overlay val="1"/>
      <c:txPr>
        <a:bodyPr/>
        <a:lstStyle/>
        <a:p>
          <a:pPr>
            <a:defRPr sz="1600" b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44455015736"/>
          <c:y val="0.0941592854742327"/>
          <c:w val="0.780113639352406"/>
          <c:h val="0.719284297079114"/>
        </c:manualLayout>
      </c:layout>
      <c:scatterChart>
        <c:scatterStyle val="lineMarker"/>
        <c:varyColors val="0"/>
        <c:ser>
          <c:idx val="1"/>
          <c:order val="0"/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'Norm Dose'!$D$2:$D$35</c:f>
              <c:numCache>
                <c:formatCode>General</c:formatCode>
                <c:ptCount val="34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6.0</c:v>
                </c:pt>
                <c:pt idx="15">
                  <c:v>6.0</c:v>
                </c:pt>
                <c:pt idx="16">
                  <c:v>6.0</c:v>
                </c:pt>
                <c:pt idx="17">
                  <c:v>6.0</c:v>
                </c:pt>
                <c:pt idx="18">
                  <c:v>6.0</c:v>
                </c:pt>
                <c:pt idx="19">
                  <c:v>6.0</c:v>
                </c:pt>
                <c:pt idx="20">
                  <c:v>6.0</c:v>
                </c:pt>
                <c:pt idx="21">
                  <c:v>6.0</c:v>
                </c:pt>
                <c:pt idx="22">
                  <c:v>6.0</c:v>
                </c:pt>
                <c:pt idx="23">
                  <c:v>10.0</c:v>
                </c:pt>
                <c:pt idx="24">
                  <c:v>10.0</c:v>
                </c:pt>
                <c:pt idx="25">
                  <c:v>10.0</c:v>
                </c:pt>
                <c:pt idx="26">
                  <c:v>10.0</c:v>
                </c:pt>
                <c:pt idx="27">
                  <c:v>10.0</c:v>
                </c:pt>
                <c:pt idx="28">
                  <c:v>10.0</c:v>
                </c:pt>
                <c:pt idx="29">
                  <c:v>10.0</c:v>
                </c:pt>
                <c:pt idx="30">
                  <c:v>10.0</c:v>
                </c:pt>
                <c:pt idx="31">
                  <c:v>10.0</c:v>
                </c:pt>
                <c:pt idx="32">
                  <c:v>10.0</c:v>
                </c:pt>
                <c:pt idx="33">
                  <c:v>10.0</c:v>
                </c:pt>
              </c:numCache>
            </c:numRef>
          </c:xVal>
          <c:yVal>
            <c:numRef>
              <c:f>'Norm Dose'!$AE$2:$AE$35</c:f>
              <c:numCache>
                <c:formatCode>0</c:formatCode>
                <c:ptCount val="34"/>
                <c:pt idx="0" formatCode="0.00E+00">
                  <c:v>1164.68617123694</c:v>
                </c:pt>
                <c:pt idx="1">
                  <c:v>325.825435160062</c:v>
                </c:pt>
                <c:pt idx="2">
                  <c:v>77.5908532412753</c:v>
                </c:pt>
                <c:pt idx="3">
                  <c:v>89.9780881824835</c:v>
                </c:pt>
                <c:pt idx="4">
                  <c:v>7.65626239419969</c:v>
                </c:pt>
                <c:pt idx="5" formatCode="General">
                  <c:v>17.8731406362229</c:v>
                </c:pt>
                <c:pt idx="6" formatCode="General">
                  <c:v>22.1100373746635</c:v>
                </c:pt>
                <c:pt idx="7">
                  <c:v>14.579419899431</c:v>
                </c:pt>
                <c:pt idx="8">
                  <c:v>31.9246915678462</c:v>
                </c:pt>
                <c:pt idx="9" formatCode="General">
                  <c:v>7.47898816305702</c:v>
                </c:pt>
                <c:pt idx="10" formatCode="General">
                  <c:v>59.2836441917848</c:v>
                </c:pt>
                <c:pt idx="11">
                  <c:v>112.477471148756</c:v>
                </c:pt>
                <c:pt idx="12">
                  <c:v>97.8003126643863</c:v>
                </c:pt>
                <c:pt idx="13">
                  <c:v>7.16471080340745</c:v>
                </c:pt>
                <c:pt idx="14">
                  <c:v>17.2873200129723</c:v>
                </c:pt>
                <c:pt idx="15" formatCode="General">
                  <c:v>21.4432203282767</c:v>
                </c:pt>
                <c:pt idx="16">
                  <c:v>15.4630316466915</c:v>
                </c:pt>
                <c:pt idx="17">
                  <c:v>9.188287345035491</c:v>
                </c:pt>
                <c:pt idx="18" formatCode="General">
                  <c:v>25.5576055878703</c:v>
                </c:pt>
                <c:pt idx="19" formatCode="General">
                  <c:v>46.7422795704494</c:v>
                </c:pt>
                <c:pt idx="20" formatCode="General">
                  <c:v>30.8754909680132</c:v>
                </c:pt>
                <c:pt idx="21" formatCode="General">
                  <c:v>28.9227629359124</c:v>
                </c:pt>
                <c:pt idx="22">
                  <c:v>17.6781388848592</c:v>
                </c:pt>
                <c:pt idx="23">
                  <c:v>164.655221409243</c:v>
                </c:pt>
                <c:pt idx="24">
                  <c:v>105.111939743034</c:v>
                </c:pt>
                <c:pt idx="25" formatCode="0.00E+00">
                  <c:v>350.536826038312</c:v>
                </c:pt>
                <c:pt idx="26">
                  <c:v>71.4246045053219</c:v>
                </c:pt>
                <c:pt idx="27" formatCode="0.00E+00">
                  <c:v>49.937887229484</c:v>
                </c:pt>
                <c:pt idx="28">
                  <c:v>30.1923619938034</c:v>
                </c:pt>
                <c:pt idx="29">
                  <c:v>15.8521484283996</c:v>
                </c:pt>
                <c:pt idx="30">
                  <c:v>8.33205093766995</c:v>
                </c:pt>
                <c:pt idx="31" formatCode="General">
                  <c:v>9.6508409950448</c:v>
                </c:pt>
                <c:pt idx="32" formatCode="General">
                  <c:v>7.55967218734832</c:v>
                </c:pt>
                <c:pt idx="33" formatCode="General">
                  <c:v>10.5864594295972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521288"/>
        <c:axId val="2103514904"/>
      </c:scatterChart>
      <c:valAx>
        <c:axId val="2103521288"/>
        <c:scaling>
          <c:orientation val="minMax"/>
          <c:max val="12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2-NBDG dose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514904"/>
        <c:crosses val="autoZero"/>
        <c:crossBetween val="midCat"/>
        <c:majorUnit val="2.0"/>
      </c:valAx>
      <c:valAx>
        <c:axId val="2103514904"/>
        <c:scaling>
          <c:orientation val="minMax"/>
          <c:max val="12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Intensity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03521288"/>
        <c:crosses val="autoZero"/>
        <c:crossBetween val="midCat"/>
      </c:valAx>
    </c:plotArea>
    <c:plotVisOnly val="1"/>
    <c:dispBlanksAs val="gap"/>
    <c:showDLblsOverMax val="0"/>
  </c:chart>
  <c:spPr>
    <a:ln>
      <a:solidFill>
        <a:srgbClr val="FFFFFF"/>
      </a:solidFill>
    </a:ln>
  </c:spPr>
  <c:txPr>
    <a:bodyPr/>
    <a:lstStyle/>
    <a:p>
      <a:pPr>
        <a:defRPr sz="28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xVal>
            <c:numRef>
              <c:f>'Norm Dose (2)'!$I$11:$I$17</c:f>
              <c:numCache>
                <c:formatCode>General</c:formatCode>
                <c:ptCount val="7"/>
                <c:pt idx="0">
                  <c:v>59.0</c:v>
                </c:pt>
                <c:pt idx="1">
                  <c:v>52.0</c:v>
                </c:pt>
                <c:pt idx="2">
                  <c:v>90.0</c:v>
                </c:pt>
                <c:pt idx="3">
                  <c:v>62.0</c:v>
                </c:pt>
                <c:pt idx="4">
                  <c:v>59.0</c:v>
                </c:pt>
                <c:pt idx="6">
                  <c:v>0.12216518172928</c:v>
                </c:pt>
              </c:numCache>
            </c:numRef>
          </c:xVal>
          <c:yVal>
            <c:numRef>
              <c:f>'Norm Dose (2)'!$AE$11:$AE$17</c:f>
              <c:numCache>
                <c:formatCode>0</c:formatCode>
                <c:ptCount val="7"/>
                <c:pt idx="0">
                  <c:v>164.655221409243</c:v>
                </c:pt>
                <c:pt idx="1">
                  <c:v>71.4246045053219</c:v>
                </c:pt>
                <c:pt idx="2">
                  <c:v>8.33205093766995</c:v>
                </c:pt>
                <c:pt idx="3" formatCode="General">
                  <c:v>7.55967218734832</c:v>
                </c:pt>
                <c:pt idx="4" formatCode="General">
                  <c:v>10.5864594295972</c:v>
                </c:pt>
                <c:pt idx="6" formatCode="General">
                  <c:v>0.221361795548339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54024"/>
        <c:axId val="-2112348552"/>
      </c:scatterChart>
      <c:valAx>
        <c:axId val="-2112354024"/>
        <c:scaling>
          <c:orientation val="minMax"/>
          <c:max val="12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348552"/>
        <c:crosses val="autoZero"/>
        <c:crossBetween val="midCat"/>
      </c:valAx>
      <c:valAx>
        <c:axId val="-2112348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r>
                  <a:rPr lang="en-US" sz="1800" b="1" i="0" baseline="0">
                    <a:effectLst/>
                  </a:rPr>
                  <a:t>/RD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-21123540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diamond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'Norm Dose (2)'!#REF!</c:f>
            </c:numRef>
          </c:xVal>
          <c:yVal>
            <c:numRef>
              <c:f>'Norm Dose (2)'!#REF!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632696"/>
        <c:axId val="-2110544760"/>
      </c:scatterChart>
      <c:valAx>
        <c:axId val="-2110632696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544760"/>
        <c:crosses val="autoZero"/>
        <c:crossBetween val="midCat"/>
      </c:valAx>
      <c:valAx>
        <c:axId val="-2110544760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1106326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marker>
            <c:symbol val="star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'Norm Dose (2)'!$I$2:$I$8</c:f>
              <c:numCache>
                <c:formatCode>General</c:formatCode>
                <c:ptCount val="7"/>
                <c:pt idx="0">
                  <c:v>72.0</c:v>
                </c:pt>
                <c:pt idx="1">
                  <c:v>76.0</c:v>
                </c:pt>
                <c:pt idx="2">
                  <c:v>54.0</c:v>
                </c:pt>
                <c:pt idx="3">
                  <c:v>64.0</c:v>
                </c:pt>
                <c:pt idx="4">
                  <c:v>105.0</c:v>
                </c:pt>
                <c:pt idx="5">
                  <c:v>76.0</c:v>
                </c:pt>
                <c:pt idx="6">
                  <c:v>60.0</c:v>
                </c:pt>
              </c:numCache>
            </c:numRef>
          </c:xVal>
          <c:yVal>
            <c:numRef>
              <c:f>'Norm Dose (2)'!$T$2:$T$8</c:f>
              <c:numCache>
                <c:formatCode>General</c:formatCode>
                <c:ptCount val="7"/>
                <c:pt idx="0">
                  <c:v>71.9229623324112</c:v>
                </c:pt>
                <c:pt idx="1">
                  <c:v>42.5838599810785</c:v>
                </c:pt>
                <c:pt idx="2">
                  <c:v>110.959543726236</c:v>
                </c:pt>
                <c:pt idx="3">
                  <c:v>306.111989269335</c:v>
                </c:pt>
                <c:pt idx="4">
                  <c:v>69.40694050251609</c:v>
                </c:pt>
                <c:pt idx="5">
                  <c:v>53.5949903222134</c:v>
                </c:pt>
                <c:pt idx="6">
                  <c:v>66.8884754007091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14344"/>
        <c:axId val="-2112307160"/>
      </c:scatterChart>
      <c:valAx>
        <c:axId val="-2112314344"/>
        <c:scaling>
          <c:orientation val="minMax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307160"/>
        <c:crosses val="autoZero"/>
        <c:crossBetween val="midCat"/>
      </c:valAx>
      <c:valAx>
        <c:axId val="-2112307160"/>
        <c:scaling>
          <c:orientation val="minMax"/>
          <c:max val="4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2-NBDG60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3143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xVal>
            <c:numRef>
              <c:f>'Norm Dose (2)'!$I$11:$I$17</c:f>
              <c:numCache>
                <c:formatCode>General</c:formatCode>
                <c:ptCount val="7"/>
                <c:pt idx="0">
                  <c:v>59.0</c:v>
                </c:pt>
                <c:pt idx="1">
                  <c:v>52.0</c:v>
                </c:pt>
                <c:pt idx="2">
                  <c:v>90.0</c:v>
                </c:pt>
                <c:pt idx="3">
                  <c:v>62.0</c:v>
                </c:pt>
                <c:pt idx="4">
                  <c:v>59.0</c:v>
                </c:pt>
                <c:pt idx="6">
                  <c:v>0.12216518172928</c:v>
                </c:pt>
              </c:numCache>
            </c:numRef>
          </c:xVal>
          <c:yVal>
            <c:numRef>
              <c:f>'Norm Dose (2)'!$T$11:$T$17</c:f>
              <c:numCache>
                <c:formatCode>General</c:formatCode>
                <c:ptCount val="7"/>
                <c:pt idx="0">
                  <c:v>256.985802829699</c:v>
                </c:pt>
                <c:pt idx="1">
                  <c:v>434.781001303275</c:v>
                </c:pt>
                <c:pt idx="2">
                  <c:v>131.309682843664</c:v>
                </c:pt>
                <c:pt idx="3">
                  <c:v>74.5669479606189</c:v>
                </c:pt>
                <c:pt idx="4">
                  <c:v>51.1399447131997</c:v>
                </c:pt>
                <c:pt idx="6">
                  <c:v>0.0612057765451245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497656"/>
        <c:axId val="-2110492120"/>
      </c:scatterChart>
      <c:valAx>
        <c:axId val="-2110497656"/>
        <c:scaling>
          <c:orientation val="minMax"/>
          <c:max val="12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Blood Glucose (mg/dL)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492120"/>
        <c:crosses val="autoZero"/>
        <c:crossBetween val="midCat"/>
      </c:valAx>
      <c:valAx>
        <c:axId val="-2110492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Helvetica"/>
                    <a:ea typeface="+mn-ea"/>
                    <a:cs typeface="Helvetica"/>
                  </a:defRPr>
                </a:pPr>
                <a:r>
                  <a:rPr lang="en-US"/>
                  <a:t>2-NBDG60</a:t>
                </a:r>
                <a:endParaRPr lang="en-US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4976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0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701165645"/>
          <c:y val="0.0941592854742327"/>
          <c:w val="0.787787977803642"/>
          <c:h val="0.704830020800175"/>
        </c:manualLayout>
      </c:layout>
      <c:scatterChart>
        <c:scatterStyle val="lineMarker"/>
        <c:varyColors val="0"/>
        <c:ser>
          <c:idx val="0"/>
          <c:order val="0"/>
          <c:tx>
            <c:v>5 min</c:v>
          </c:tx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'Norm Dose (2)'!$D$2:$D$17</c:f>
              <c:numCache>
                <c:formatCode>General</c:formatCode>
                <c:ptCount val="16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6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</c:numCache>
            </c:numRef>
          </c:xVal>
          <c:yVal>
            <c:numRef>
              <c:f>'Norm Dose (2)'!$N$2:$N$17</c:f>
              <c:numCache>
                <c:formatCode>General</c:formatCode>
                <c:ptCount val="16"/>
                <c:pt idx="0">
                  <c:v>318.022155939953</c:v>
                </c:pt>
                <c:pt idx="1">
                  <c:v>1191.74292961319</c:v>
                </c:pt>
                <c:pt idx="2">
                  <c:v>537.017524102907</c:v>
                </c:pt>
                <c:pt idx="3">
                  <c:v>2259.54892498067</c:v>
                </c:pt>
                <c:pt idx="4">
                  <c:v>865.5455851455461</c:v>
                </c:pt>
                <c:pt idx="5">
                  <c:v>492.484034919457</c:v>
                </c:pt>
                <c:pt idx="6">
                  <c:v>519.22350954689</c:v>
                </c:pt>
                <c:pt idx="7">
                  <c:v>917.547539137457</c:v>
                </c:pt>
                <c:pt idx="8">
                  <c:v>2023.1377719091</c:v>
                </c:pt>
                <c:pt idx="9">
                  <c:v>820.526974861124</c:v>
                </c:pt>
                <c:pt idx="10">
                  <c:v>2354.72213684444</c:v>
                </c:pt>
                <c:pt idx="11">
                  <c:v>1570.65230715855</c:v>
                </c:pt>
                <c:pt idx="12">
                  <c:v>897.363545032447</c:v>
                </c:pt>
                <c:pt idx="13">
                  <c:v>1106.98899661866</c:v>
                </c:pt>
                <c:pt idx="15">
                  <c:v>0.0020063163580737</c:v>
                </c:pt>
              </c:numCache>
            </c:numRef>
          </c:yVal>
          <c:smooth val="0"/>
        </c:ser>
        <c:ser>
          <c:idx val="1"/>
          <c:order val="1"/>
          <c:tx>
            <c:v>60 min</c:v>
          </c:tx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'Norm Dose (2)'!$D$2:$D$17</c:f>
              <c:numCache>
                <c:formatCode>General</c:formatCode>
                <c:ptCount val="16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6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</c:numCache>
            </c:numRef>
          </c:xVal>
          <c:yVal>
            <c:numRef>
              <c:f>'Norm Dose (2)'!$T$2:$T$17</c:f>
              <c:numCache>
                <c:formatCode>General</c:formatCode>
                <c:ptCount val="16"/>
                <c:pt idx="0">
                  <c:v>71.9229623324112</c:v>
                </c:pt>
                <c:pt idx="1">
                  <c:v>42.5838599810785</c:v>
                </c:pt>
                <c:pt idx="2">
                  <c:v>110.959543726236</c:v>
                </c:pt>
                <c:pt idx="3">
                  <c:v>306.111989269335</c:v>
                </c:pt>
                <c:pt idx="4">
                  <c:v>69.40694050251609</c:v>
                </c:pt>
                <c:pt idx="5">
                  <c:v>53.5949903222134</c:v>
                </c:pt>
                <c:pt idx="6">
                  <c:v>66.8884754007091</c:v>
                </c:pt>
                <c:pt idx="7">
                  <c:v>472.289702602231</c:v>
                </c:pt>
                <c:pt idx="8">
                  <c:v>131.135344920155</c:v>
                </c:pt>
                <c:pt idx="9">
                  <c:v>256.985802829699</c:v>
                </c:pt>
                <c:pt idx="10">
                  <c:v>434.781001303275</c:v>
                </c:pt>
                <c:pt idx="11">
                  <c:v>131.309682843664</c:v>
                </c:pt>
                <c:pt idx="12">
                  <c:v>74.5669479606189</c:v>
                </c:pt>
                <c:pt idx="13">
                  <c:v>51.1399447131997</c:v>
                </c:pt>
                <c:pt idx="15">
                  <c:v>0.0612057765451245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515096"/>
        <c:axId val="-2110486120"/>
      </c:scatterChart>
      <c:valAx>
        <c:axId val="-2110515096"/>
        <c:scaling>
          <c:orientation val="minMax"/>
          <c:max val="12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2-NBDG dose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486120"/>
        <c:crosses val="autoZero"/>
        <c:crossBetween val="midCat"/>
        <c:majorUnit val="2.0"/>
      </c:valAx>
      <c:valAx>
        <c:axId val="-2110486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Intensity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5150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8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44455015736"/>
          <c:y val="0.0941592854742327"/>
          <c:w val="0.780113639352406"/>
          <c:h val="0.719284297079114"/>
        </c:manualLayout>
      </c:layout>
      <c:scatterChart>
        <c:scatterStyle val="lineMarker"/>
        <c:varyColors val="0"/>
        <c:ser>
          <c:idx val="1"/>
          <c:order val="0"/>
          <c:spPr>
            <a:ln w="47625">
              <a:noFill/>
            </a:ln>
            <a:effectLst/>
          </c:spPr>
          <c:marker>
            <c:spPr>
              <a:effectLst/>
            </c:spPr>
          </c:marker>
          <c:xVal>
            <c:numRef>
              <c:f>'Norm Dose (2)'!$D$2:$D$17</c:f>
              <c:numCache>
                <c:formatCode>General</c:formatCode>
                <c:ptCount val="16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6">
                  <c:v>6.0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10.0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</c:numCache>
            </c:numRef>
          </c:xVal>
          <c:yVal>
            <c:numRef>
              <c:f>'Norm Dose (2)'!$AE$2:$AE$17</c:f>
              <c:numCache>
                <c:formatCode>0</c:formatCode>
                <c:ptCount val="16"/>
                <c:pt idx="0">
                  <c:v>112.477471148756</c:v>
                </c:pt>
                <c:pt idx="1">
                  <c:v>7.16471080340745</c:v>
                </c:pt>
                <c:pt idx="2">
                  <c:v>97.8003126643863</c:v>
                </c:pt>
                <c:pt idx="3" formatCode="General">
                  <c:v>21.4432203282767</c:v>
                </c:pt>
                <c:pt idx="4">
                  <c:v>9.188287345035491</c:v>
                </c:pt>
                <c:pt idx="5" formatCode="General">
                  <c:v>30.8754909680132</c:v>
                </c:pt>
                <c:pt idx="6" formatCode="General">
                  <c:v>28.9227629359124</c:v>
                </c:pt>
                <c:pt idx="7" formatCode="0.00E+00">
                  <c:v>350.536826038312</c:v>
                </c:pt>
                <c:pt idx="8">
                  <c:v>15.8521484283996</c:v>
                </c:pt>
                <c:pt idx="9">
                  <c:v>164.655221409243</c:v>
                </c:pt>
                <c:pt idx="10">
                  <c:v>71.4246045053219</c:v>
                </c:pt>
                <c:pt idx="11">
                  <c:v>8.33205093766995</c:v>
                </c:pt>
                <c:pt idx="12" formatCode="General">
                  <c:v>7.55967218734832</c:v>
                </c:pt>
                <c:pt idx="13" formatCode="General">
                  <c:v>10.5864594295972</c:v>
                </c:pt>
                <c:pt idx="15" formatCode="General">
                  <c:v>0.221361795548339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436600"/>
        <c:axId val="-2110429208"/>
      </c:scatterChart>
      <c:valAx>
        <c:axId val="-2110436600"/>
        <c:scaling>
          <c:orientation val="minMax"/>
          <c:max val="12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2-NBDG dose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0429208"/>
        <c:crosses val="autoZero"/>
        <c:crossBetween val="midCat"/>
        <c:majorUnit val="2.0"/>
      </c:valAx>
      <c:valAx>
        <c:axId val="-2110429208"/>
        <c:scaling>
          <c:orientation val="minMax"/>
          <c:max val="12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Intensity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110436600"/>
        <c:crosses val="autoZero"/>
        <c:crossBetween val="midCat"/>
      </c:valAx>
    </c:plotArea>
    <c:plotVisOnly val="1"/>
    <c:dispBlanksAs val="gap"/>
    <c:showDLblsOverMax val="0"/>
  </c:chart>
  <c:spPr>
    <a:ln>
      <a:solidFill>
        <a:srgbClr val="FFFFFF"/>
      </a:solidFill>
    </a:ln>
  </c:spPr>
  <c:txPr>
    <a:bodyPr/>
    <a:lstStyle/>
    <a:p>
      <a:pPr>
        <a:defRPr sz="2800">
          <a:latin typeface="Helvetica"/>
          <a:cs typeface="Helvetic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26.xml"/><Relationship Id="rId20" Type="http://schemas.openxmlformats.org/officeDocument/2006/relationships/chart" Target="../charts/chart37.xml"/><Relationship Id="rId21" Type="http://schemas.openxmlformats.org/officeDocument/2006/relationships/chart" Target="../charts/chart38.xml"/><Relationship Id="rId10" Type="http://schemas.openxmlformats.org/officeDocument/2006/relationships/chart" Target="../charts/chart27.xml"/><Relationship Id="rId11" Type="http://schemas.openxmlformats.org/officeDocument/2006/relationships/chart" Target="../charts/chart28.xml"/><Relationship Id="rId12" Type="http://schemas.openxmlformats.org/officeDocument/2006/relationships/chart" Target="../charts/chart29.xml"/><Relationship Id="rId13" Type="http://schemas.openxmlformats.org/officeDocument/2006/relationships/chart" Target="../charts/chart30.xml"/><Relationship Id="rId14" Type="http://schemas.openxmlformats.org/officeDocument/2006/relationships/chart" Target="../charts/chart31.xml"/><Relationship Id="rId15" Type="http://schemas.openxmlformats.org/officeDocument/2006/relationships/chart" Target="../charts/chart32.xml"/><Relationship Id="rId16" Type="http://schemas.openxmlformats.org/officeDocument/2006/relationships/chart" Target="../charts/chart33.xml"/><Relationship Id="rId17" Type="http://schemas.openxmlformats.org/officeDocument/2006/relationships/chart" Target="../charts/chart34.xml"/><Relationship Id="rId18" Type="http://schemas.openxmlformats.org/officeDocument/2006/relationships/chart" Target="../charts/chart35.xml"/><Relationship Id="rId19" Type="http://schemas.openxmlformats.org/officeDocument/2006/relationships/chart" Target="../charts/chart36.xml"/><Relationship Id="rId1" Type="http://schemas.openxmlformats.org/officeDocument/2006/relationships/chart" Target="../charts/chart18.xml"/><Relationship Id="rId2" Type="http://schemas.openxmlformats.org/officeDocument/2006/relationships/chart" Target="../charts/chart19.xml"/><Relationship Id="rId3" Type="http://schemas.openxmlformats.org/officeDocument/2006/relationships/chart" Target="../charts/chart20.xml"/><Relationship Id="rId4" Type="http://schemas.openxmlformats.org/officeDocument/2006/relationships/chart" Target="../charts/chart21.xml"/><Relationship Id="rId5" Type="http://schemas.openxmlformats.org/officeDocument/2006/relationships/chart" Target="../charts/chart22.xml"/><Relationship Id="rId6" Type="http://schemas.openxmlformats.org/officeDocument/2006/relationships/chart" Target="../charts/chart23.xml"/><Relationship Id="rId7" Type="http://schemas.openxmlformats.org/officeDocument/2006/relationships/chart" Target="../charts/chart24.xml"/><Relationship Id="rId8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1467290</xdr:colOff>
      <xdr:row>21</xdr:row>
      <xdr:rowOff>56469</xdr:rowOff>
    </xdr:from>
    <xdr:to>
      <xdr:col>4</xdr:col>
      <xdr:colOff>134163</xdr:colOff>
      <xdr:row>33</xdr:row>
      <xdr:rowOff>56467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537406</xdr:colOff>
      <xdr:row>1</xdr:row>
      <xdr:rowOff>0</xdr:rowOff>
    </xdr:from>
    <xdr:to>
      <xdr:col>46</xdr:col>
      <xdr:colOff>515421</xdr:colOff>
      <xdr:row>12</xdr:row>
      <xdr:rowOff>16640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471714</xdr:colOff>
      <xdr:row>1</xdr:row>
      <xdr:rowOff>0</xdr:rowOff>
    </xdr:from>
    <xdr:to>
      <xdr:col>51</xdr:col>
      <xdr:colOff>449729</xdr:colOff>
      <xdr:row>11</xdr:row>
      <xdr:rowOff>128813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635000</xdr:colOff>
      <xdr:row>1</xdr:row>
      <xdr:rowOff>0</xdr:rowOff>
    </xdr:from>
    <xdr:to>
      <xdr:col>58</xdr:col>
      <xdr:colOff>613015</xdr:colOff>
      <xdr:row>11</xdr:row>
      <xdr:rowOff>146957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449448</xdr:colOff>
      <xdr:row>14</xdr:row>
      <xdr:rowOff>36286</xdr:rowOff>
    </xdr:from>
    <xdr:to>
      <xdr:col>46</xdr:col>
      <xdr:colOff>427463</xdr:colOff>
      <xdr:row>23</xdr:row>
      <xdr:rowOff>110671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580571</xdr:colOff>
      <xdr:row>13</xdr:row>
      <xdr:rowOff>72571</xdr:rowOff>
    </xdr:from>
    <xdr:to>
      <xdr:col>51</xdr:col>
      <xdr:colOff>558586</xdr:colOff>
      <xdr:row>22</xdr:row>
      <xdr:rowOff>146956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90714</xdr:colOff>
      <xdr:row>13</xdr:row>
      <xdr:rowOff>163285</xdr:rowOff>
    </xdr:from>
    <xdr:to>
      <xdr:col>59</xdr:col>
      <xdr:colOff>68729</xdr:colOff>
      <xdr:row>23</xdr:row>
      <xdr:rowOff>56242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43542</xdr:colOff>
      <xdr:row>28</xdr:row>
      <xdr:rowOff>39914</xdr:rowOff>
    </xdr:from>
    <xdr:to>
      <xdr:col>55</xdr:col>
      <xdr:colOff>286657</xdr:colOff>
      <xdr:row>59</xdr:row>
      <xdr:rowOff>152401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105228</xdr:colOff>
      <xdr:row>63</xdr:row>
      <xdr:rowOff>7256</xdr:rowOff>
    </xdr:from>
    <xdr:to>
      <xdr:col>55</xdr:col>
      <xdr:colOff>312058</xdr:colOff>
      <xdr:row>96</xdr:row>
      <xdr:rowOff>119743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13608</xdr:colOff>
      <xdr:row>117</xdr:row>
      <xdr:rowOff>131989</xdr:rowOff>
    </xdr:from>
    <xdr:to>
      <xdr:col>20</xdr:col>
      <xdr:colOff>503466</xdr:colOff>
      <xdr:row>136</xdr:row>
      <xdr:rowOff>122465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544285</xdr:colOff>
      <xdr:row>120</xdr:row>
      <xdr:rowOff>136072</xdr:rowOff>
    </xdr:from>
    <xdr:to>
      <xdr:col>25</xdr:col>
      <xdr:colOff>435428</xdr:colOff>
      <xdr:row>139</xdr:row>
      <xdr:rowOff>126548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557892</xdr:colOff>
      <xdr:row>139</xdr:row>
      <xdr:rowOff>163286</xdr:rowOff>
    </xdr:from>
    <xdr:to>
      <xdr:col>25</xdr:col>
      <xdr:colOff>449035</xdr:colOff>
      <xdr:row>158</xdr:row>
      <xdr:rowOff>167369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13607</xdr:colOff>
      <xdr:row>136</xdr:row>
      <xdr:rowOff>163285</xdr:rowOff>
    </xdr:from>
    <xdr:to>
      <xdr:col>20</xdr:col>
      <xdr:colOff>503465</xdr:colOff>
      <xdr:row>155</xdr:row>
      <xdr:rowOff>167368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435427</xdr:colOff>
      <xdr:row>119</xdr:row>
      <xdr:rowOff>181427</xdr:rowOff>
    </xdr:from>
    <xdr:to>
      <xdr:col>3</xdr:col>
      <xdr:colOff>798285</xdr:colOff>
      <xdr:row>138</xdr:row>
      <xdr:rowOff>171903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870857</xdr:colOff>
      <xdr:row>140</xdr:row>
      <xdr:rowOff>0</xdr:rowOff>
    </xdr:from>
    <xdr:to>
      <xdr:col>4</xdr:col>
      <xdr:colOff>376465</xdr:colOff>
      <xdr:row>159</xdr:row>
      <xdr:rowOff>4083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136073</xdr:colOff>
      <xdr:row>117</xdr:row>
      <xdr:rowOff>13607</xdr:rowOff>
    </xdr:from>
    <xdr:to>
      <xdr:col>13</xdr:col>
      <xdr:colOff>77109</xdr:colOff>
      <xdr:row>136</xdr:row>
      <xdr:rowOff>4083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816429</xdr:colOff>
      <xdr:row>120</xdr:row>
      <xdr:rowOff>1</xdr:rowOff>
    </xdr:from>
    <xdr:to>
      <xdr:col>9</xdr:col>
      <xdr:colOff>90715</xdr:colOff>
      <xdr:row>138</xdr:row>
      <xdr:rowOff>180977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312270</xdr:colOff>
      <xdr:row>1</xdr:row>
      <xdr:rowOff>0</xdr:rowOff>
    </xdr:from>
    <xdr:to>
      <xdr:col>44</xdr:col>
      <xdr:colOff>290285</xdr:colOff>
      <xdr:row>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471714</xdr:colOff>
      <xdr:row>1</xdr:row>
      <xdr:rowOff>0</xdr:rowOff>
    </xdr:from>
    <xdr:to>
      <xdr:col>51</xdr:col>
      <xdr:colOff>449729</xdr:colOff>
      <xdr:row>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635000</xdr:colOff>
      <xdr:row>1</xdr:row>
      <xdr:rowOff>0</xdr:rowOff>
    </xdr:from>
    <xdr:to>
      <xdr:col>58</xdr:col>
      <xdr:colOff>613015</xdr:colOff>
      <xdr:row>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362857</xdr:colOff>
      <xdr:row>10</xdr:row>
      <xdr:rowOff>36286</xdr:rowOff>
    </xdr:from>
    <xdr:to>
      <xdr:col>44</xdr:col>
      <xdr:colOff>340872</xdr:colOff>
      <xdr:row>34</xdr:row>
      <xdr:rowOff>110671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580571</xdr:colOff>
      <xdr:row>10</xdr:row>
      <xdr:rowOff>72571</xdr:rowOff>
    </xdr:from>
    <xdr:to>
      <xdr:col>51</xdr:col>
      <xdr:colOff>558586</xdr:colOff>
      <xdr:row>34</xdr:row>
      <xdr:rowOff>146956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90714</xdr:colOff>
      <xdr:row>10</xdr:row>
      <xdr:rowOff>163285</xdr:rowOff>
    </xdr:from>
    <xdr:to>
      <xdr:col>59</xdr:col>
      <xdr:colOff>68729</xdr:colOff>
      <xdr:row>35</xdr:row>
      <xdr:rowOff>56242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43542</xdr:colOff>
      <xdr:row>40</xdr:row>
      <xdr:rowOff>39914</xdr:rowOff>
    </xdr:from>
    <xdr:to>
      <xdr:col>55</xdr:col>
      <xdr:colOff>286657</xdr:colOff>
      <xdr:row>72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105228</xdr:colOff>
      <xdr:row>74</xdr:row>
      <xdr:rowOff>0</xdr:rowOff>
    </xdr:from>
    <xdr:to>
      <xdr:col>55</xdr:col>
      <xdr:colOff>312058</xdr:colOff>
      <xdr:row>98</xdr:row>
      <xdr:rowOff>119743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476249</xdr:colOff>
      <xdr:row>48</xdr:row>
      <xdr:rowOff>176892</xdr:rowOff>
    </xdr:from>
    <xdr:to>
      <xdr:col>20</xdr:col>
      <xdr:colOff>703036</xdr:colOff>
      <xdr:row>67</xdr:row>
      <xdr:rowOff>154212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571501</xdr:colOff>
      <xdr:row>95</xdr:row>
      <xdr:rowOff>68036</xdr:rowOff>
    </xdr:from>
    <xdr:to>
      <xdr:col>6</xdr:col>
      <xdr:colOff>693965</xdr:colOff>
      <xdr:row>109</xdr:row>
      <xdr:rowOff>144236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176893</xdr:colOff>
      <xdr:row>97</xdr:row>
      <xdr:rowOff>23132</xdr:rowOff>
    </xdr:from>
    <xdr:to>
      <xdr:col>14</xdr:col>
      <xdr:colOff>40821</xdr:colOff>
      <xdr:row>111</xdr:row>
      <xdr:rowOff>99332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122464</xdr:colOff>
      <xdr:row>97</xdr:row>
      <xdr:rowOff>0</xdr:rowOff>
    </xdr:from>
    <xdr:to>
      <xdr:col>21</xdr:col>
      <xdr:colOff>149679</xdr:colOff>
      <xdr:row>111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299358</xdr:colOff>
      <xdr:row>97</xdr:row>
      <xdr:rowOff>149679</xdr:rowOff>
    </xdr:from>
    <xdr:to>
      <xdr:col>26</xdr:col>
      <xdr:colOff>680358</xdr:colOff>
      <xdr:row>112</xdr:row>
      <xdr:rowOff>35379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95253</xdr:colOff>
      <xdr:row>37</xdr:row>
      <xdr:rowOff>108858</xdr:rowOff>
    </xdr:from>
    <xdr:to>
      <xdr:col>6</xdr:col>
      <xdr:colOff>10344</xdr:colOff>
      <xdr:row>55</xdr:row>
      <xdr:rowOff>174172</xdr:rowOff>
    </xdr:to>
    <xdr:grpSp>
      <xdr:nvGrpSpPr>
        <xdr:cNvPr id="15" name="Group 14"/>
        <xdr:cNvGrpSpPr/>
      </xdr:nvGrpSpPr>
      <xdr:grpSpPr>
        <a:xfrm>
          <a:off x="95253" y="7208158"/>
          <a:ext cx="6074591" cy="3316514"/>
          <a:chOff x="95253" y="8791990"/>
          <a:chExt cx="4010555" cy="3063973"/>
        </a:xfrm>
      </xdr:grpSpPr>
      <xdr:graphicFrame macro="">
        <xdr:nvGraphicFramePr>
          <xdr:cNvPr id="16" name="Chart 15"/>
          <xdr:cNvGraphicFramePr>
            <a:graphicFrameLocks/>
          </xdr:cNvGraphicFramePr>
        </xdr:nvGraphicFramePr>
        <xdr:xfrm>
          <a:off x="95253" y="8791990"/>
          <a:ext cx="4010555" cy="3063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sp macro="" textlink="">
        <xdr:nvSpPr>
          <xdr:cNvPr id="17" name="TextBox 16"/>
          <xdr:cNvSpPr txBox="1"/>
        </xdr:nvSpPr>
        <xdr:spPr>
          <a:xfrm>
            <a:off x="2120384" y="8858114"/>
            <a:ext cx="969066" cy="630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20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-0.52</a:t>
            </a:r>
            <a:endParaRPr lang="en-US" sz="20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20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0.05</a:t>
            </a:r>
            <a:endParaRPr lang="en-US" sz="20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231322</xdr:colOff>
      <xdr:row>37</xdr:row>
      <xdr:rowOff>122463</xdr:rowOff>
    </xdr:from>
    <xdr:to>
      <xdr:col>12</xdr:col>
      <xdr:colOff>78378</xdr:colOff>
      <xdr:row>55</xdr:row>
      <xdr:rowOff>175077</xdr:rowOff>
    </xdr:to>
    <xdr:grpSp>
      <xdr:nvGrpSpPr>
        <xdr:cNvPr id="18" name="Group 17"/>
        <xdr:cNvGrpSpPr/>
      </xdr:nvGrpSpPr>
      <xdr:grpSpPr>
        <a:xfrm>
          <a:off x="6390822" y="7221763"/>
          <a:ext cx="6095456" cy="3303814"/>
          <a:chOff x="4228273" y="8805596"/>
          <a:chExt cx="4027711" cy="3063973"/>
        </a:xfrm>
      </xdr:grpSpPr>
      <xdr:graphicFrame macro="">
        <xdr:nvGraphicFramePr>
          <xdr:cNvPr id="19" name="Chart 18"/>
          <xdr:cNvGraphicFramePr>
            <a:graphicFrameLocks/>
          </xdr:cNvGraphicFramePr>
        </xdr:nvGraphicFramePr>
        <xdr:xfrm>
          <a:off x="4228273" y="8805596"/>
          <a:ext cx="4027711" cy="3063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sp macro="" textlink="">
        <xdr:nvSpPr>
          <xdr:cNvPr id="20" name="TextBox 19"/>
          <xdr:cNvSpPr txBox="1"/>
        </xdr:nvSpPr>
        <xdr:spPr>
          <a:xfrm>
            <a:off x="6166624" y="8816716"/>
            <a:ext cx="927653" cy="571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16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0.47</a:t>
            </a:r>
            <a:endParaRPr lang="en-US" sz="16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16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0.08</a:t>
            </a:r>
            <a:endParaRPr lang="en-US" sz="16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  <xdr:twoCellAnchor>
    <xdr:from>
      <xdr:col>16</xdr:col>
      <xdr:colOff>265046</xdr:colOff>
      <xdr:row>37</xdr:row>
      <xdr:rowOff>114324</xdr:rowOff>
    </xdr:from>
    <xdr:to>
      <xdr:col>19</xdr:col>
      <xdr:colOff>312111</xdr:colOff>
      <xdr:row>44</xdr:row>
      <xdr:rowOff>152424</xdr:rowOff>
    </xdr:to>
    <xdr:grpSp>
      <xdr:nvGrpSpPr>
        <xdr:cNvPr id="21" name="Group 20"/>
        <xdr:cNvGrpSpPr/>
      </xdr:nvGrpSpPr>
      <xdr:grpSpPr>
        <a:xfrm>
          <a:off x="15632046" y="7213624"/>
          <a:ext cx="2066365" cy="1282700"/>
          <a:chOff x="13685491" y="8243110"/>
          <a:chExt cx="2667029" cy="1835260"/>
        </a:xfrm>
      </xdr:grpSpPr>
      <xdr:graphicFrame macro="">
        <xdr:nvGraphicFramePr>
          <xdr:cNvPr id="22" name="Chart 21"/>
          <xdr:cNvGraphicFramePr>
            <a:graphicFrameLocks/>
          </xdr:cNvGraphicFramePr>
        </xdr:nvGraphicFramePr>
        <xdr:xfrm>
          <a:off x="13685491" y="8245929"/>
          <a:ext cx="2667029" cy="18324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sp macro="" textlink="">
        <xdr:nvSpPr>
          <xdr:cNvPr id="23" name="TextBox 22"/>
          <xdr:cNvSpPr txBox="1"/>
        </xdr:nvSpPr>
        <xdr:spPr>
          <a:xfrm>
            <a:off x="14310620" y="8243110"/>
            <a:ext cx="1109499" cy="441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8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-0.61</a:t>
            </a:r>
            <a:endParaRPr lang="en-US" sz="8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8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0.02</a:t>
            </a:r>
            <a:endParaRPr lang="en-US" sz="8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  <xdr:twoCellAnchor>
    <xdr:from>
      <xdr:col>9</xdr:col>
      <xdr:colOff>911677</xdr:colOff>
      <xdr:row>57</xdr:row>
      <xdr:rowOff>13607</xdr:rowOff>
    </xdr:from>
    <xdr:to>
      <xdr:col>14</xdr:col>
      <xdr:colOff>217709</xdr:colOff>
      <xdr:row>73</xdr:row>
      <xdr:rowOff>27214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149679</xdr:colOff>
      <xdr:row>57</xdr:row>
      <xdr:rowOff>0</xdr:rowOff>
    </xdr:from>
    <xdr:to>
      <xdr:col>4</xdr:col>
      <xdr:colOff>408212</xdr:colOff>
      <xdr:row>73</xdr:row>
      <xdr:rowOff>13607</xdr:rowOff>
    </xdr:to>
    <xdr:grpSp>
      <xdr:nvGrpSpPr>
        <xdr:cNvPr id="26" name="Group 25"/>
        <xdr:cNvGrpSpPr/>
      </xdr:nvGrpSpPr>
      <xdr:grpSpPr>
        <a:xfrm>
          <a:off x="149679" y="10706100"/>
          <a:ext cx="4538433" cy="2858407"/>
          <a:chOff x="95253" y="8791990"/>
          <a:chExt cx="4010555" cy="3063973"/>
        </a:xfrm>
      </xdr:grpSpPr>
      <xdr:graphicFrame macro="">
        <xdr:nvGraphicFramePr>
          <xdr:cNvPr id="27" name="Chart 26"/>
          <xdr:cNvGraphicFramePr>
            <a:graphicFrameLocks/>
          </xdr:cNvGraphicFramePr>
        </xdr:nvGraphicFramePr>
        <xdr:xfrm>
          <a:off x="95253" y="8791990"/>
          <a:ext cx="4010555" cy="3063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sp macro="" textlink="">
        <xdr:nvSpPr>
          <xdr:cNvPr id="28" name="TextBox 27"/>
          <xdr:cNvSpPr txBox="1"/>
        </xdr:nvSpPr>
        <xdr:spPr>
          <a:xfrm>
            <a:off x="2990021" y="8961780"/>
            <a:ext cx="969066" cy="5383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14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-0.52</a:t>
            </a:r>
            <a:endParaRPr lang="en-US" sz="14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14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0.05</a:t>
            </a:r>
            <a:endParaRPr lang="en-US" sz="14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530677</xdr:colOff>
      <xdr:row>57</xdr:row>
      <xdr:rowOff>13606</xdr:rowOff>
    </xdr:from>
    <xdr:to>
      <xdr:col>9</xdr:col>
      <xdr:colOff>748388</xdr:colOff>
      <xdr:row>73</xdr:row>
      <xdr:rowOff>27213</xdr:rowOff>
    </xdr:to>
    <xdr:grpSp>
      <xdr:nvGrpSpPr>
        <xdr:cNvPr id="29" name="Group 28"/>
        <xdr:cNvGrpSpPr/>
      </xdr:nvGrpSpPr>
      <xdr:grpSpPr>
        <a:xfrm>
          <a:off x="4810577" y="10719706"/>
          <a:ext cx="4586511" cy="2858407"/>
          <a:chOff x="4228273" y="8805596"/>
          <a:chExt cx="4027711" cy="3063973"/>
        </a:xfrm>
      </xdr:grpSpPr>
      <xdr:graphicFrame macro="">
        <xdr:nvGraphicFramePr>
          <xdr:cNvPr id="30" name="Chart 29"/>
          <xdr:cNvGraphicFramePr>
            <a:graphicFrameLocks/>
          </xdr:cNvGraphicFramePr>
        </xdr:nvGraphicFramePr>
        <xdr:xfrm>
          <a:off x="4228273" y="8805596"/>
          <a:ext cx="4027711" cy="3063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sp macro="" textlink="">
        <xdr:nvSpPr>
          <xdr:cNvPr id="31" name="TextBox 30"/>
          <xdr:cNvSpPr txBox="1"/>
        </xdr:nvSpPr>
        <xdr:spPr>
          <a:xfrm>
            <a:off x="5184912" y="8953500"/>
            <a:ext cx="927653" cy="571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14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0.47</a:t>
            </a:r>
            <a:endParaRPr lang="en-US" sz="14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14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0.08</a:t>
            </a:r>
            <a:endParaRPr lang="en-US" sz="14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endParaRPr lang="en-US" sz="1400"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  <xdr:twoCellAnchor>
    <xdr:from>
      <xdr:col>16</xdr:col>
      <xdr:colOff>236667</xdr:colOff>
      <xdr:row>45</xdr:row>
      <xdr:rowOff>22783</xdr:rowOff>
    </xdr:from>
    <xdr:to>
      <xdr:col>19</xdr:col>
      <xdr:colOff>295119</xdr:colOff>
      <xdr:row>51</xdr:row>
      <xdr:rowOff>175183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29</xdr:col>
      <xdr:colOff>363682</xdr:colOff>
      <xdr:row>34</xdr:row>
      <xdr:rowOff>103908</xdr:rowOff>
    </xdr:from>
    <xdr:to>
      <xdr:col>35</xdr:col>
      <xdr:colOff>61061</xdr:colOff>
      <xdr:row>53</xdr:row>
      <xdr:rowOff>658</xdr:rowOff>
    </xdr:to>
    <xdr:grpSp>
      <xdr:nvGrpSpPr>
        <xdr:cNvPr id="33" name="Group 32"/>
        <xdr:cNvGrpSpPr/>
      </xdr:nvGrpSpPr>
      <xdr:grpSpPr>
        <a:xfrm>
          <a:off x="26652682" y="6669808"/>
          <a:ext cx="6314079" cy="3325750"/>
          <a:chOff x="95253" y="8791990"/>
          <a:chExt cx="4147194" cy="3063973"/>
        </a:xfrm>
      </xdr:grpSpPr>
      <xdr:graphicFrame macro="">
        <xdr:nvGraphicFramePr>
          <xdr:cNvPr id="34" name="Chart 33"/>
          <xdr:cNvGraphicFramePr>
            <a:graphicFrameLocks/>
          </xdr:cNvGraphicFramePr>
        </xdr:nvGraphicFramePr>
        <xdr:xfrm>
          <a:off x="95253" y="8791990"/>
          <a:ext cx="4010555" cy="3063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sp macro="" textlink="">
        <xdr:nvSpPr>
          <xdr:cNvPr id="35" name="TextBox 34"/>
          <xdr:cNvSpPr txBox="1"/>
        </xdr:nvSpPr>
        <xdr:spPr>
          <a:xfrm>
            <a:off x="3273381" y="9573823"/>
            <a:ext cx="969066" cy="5383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US" sz="16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R = -0.20</a:t>
            </a:r>
            <a:endParaRPr lang="en-US" sz="16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 rtl="0"/>
            <a:r>
              <a:rPr lang="en-US" sz="1600" b="0" i="0" baseline="0">
                <a:solidFill>
                  <a:schemeClr val="dk1"/>
                </a:solidFill>
                <a:effectLst/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p = N.S.</a:t>
            </a:r>
            <a:endParaRPr lang="en-US" sz="1600"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0.67688</cdr:x>
      <cdr:y>0.01191</cdr:y>
    </cdr:from>
    <cdr:to>
      <cdr:x>1</cdr:x>
      <cdr:y>0.15799</cdr:y>
    </cdr:to>
    <cdr:sp macro="" textlink="">
      <cdr:nvSpPr>
        <cdr:cNvPr id="2" name="TextBox 43"/>
        <cdr:cNvSpPr txBox="1"/>
      </cdr:nvSpPr>
      <cdr:spPr>
        <a:xfrm xmlns:a="http://schemas.openxmlformats.org/drawingml/2006/main">
          <a:off x="1244281" y="16330"/>
          <a:ext cx="593985" cy="200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="0" i="0" baseline="0">
              <a:solidFill>
                <a:schemeClr val="dk1"/>
              </a:solidFill>
              <a:effectLst/>
              <a:latin typeface="Helvetica" panose="020B0604020202020204" pitchFamily="34" charset="0"/>
              <a:ea typeface="+mn-ea"/>
              <a:cs typeface="Helvetica" panose="020B0604020202020204" pitchFamily="34" charset="0"/>
            </a:rPr>
            <a:t>R = 0.77</a:t>
          </a:r>
          <a:endParaRPr lang="en-US" sz="800">
            <a:effectLst/>
            <a:latin typeface="Helvetica" panose="020B0604020202020204" pitchFamily="34" charset="0"/>
            <a:cs typeface="Helvetica" panose="020B0604020202020204" pitchFamily="34" charset="0"/>
          </a:endParaRPr>
        </a:p>
        <a:p xmlns:a="http://schemas.openxmlformats.org/drawingml/2006/main">
          <a:pPr rtl="0"/>
          <a:r>
            <a:rPr lang="en-US" sz="800" b="0" i="0" baseline="0">
              <a:solidFill>
                <a:schemeClr val="dk1"/>
              </a:solidFill>
              <a:effectLst/>
              <a:latin typeface="Helvetica" panose="020B0604020202020204" pitchFamily="34" charset="0"/>
              <a:ea typeface="+mn-ea"/>
              <a:cs typeface="Helvetica" panose="020B0604020202020204" pitchFamily="34" charset="0"/>
            </a:rPr>
            <a:t>p&lt;0.001</a:t>
          </a:r>
          <a:endParaRPr lang="en-US" sz="800">
            <a:effectLst/>
            <a:latin typeface="Helvetica" panose="020B0604020202020204" pitchFamily="34" charset="0"/>
            <a:cs typeface="Helvetica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105228</xdr:colOff>
      <xdr:row>88</xdr:row>
      <xdr:rowOff>7256</xdr:rowOff>
    </xdr:from>
    <xdr:to>
      <xdr:col>55</xdr:col>
      <xdr:colOff>312058</xdr:colOff>
      <xdr:row>121</xdr:row>
      <xdr:rowOff>119743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frees/Dropbox/Stats%20meeting/WC_MASTER_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 data"/>
      <sheetName val="Paired"/>
      <sheetName val="LG"/>
      <sheetName val="BG"/>
      <sheetName val="All data (2)"/>
      <sheetName val="Norm Dose (2)"/>
      <sheetName val="Norm Dose"/>
      <sheetName val="THb"/>
      <sheetName val="Rad"/>
      <sheetName val="IH"/>
      <sheetName val="Fasting"/>
      <sheetName val="FLOW"/>
      <sheetName val="Sheet2"/>
      <sheetName val="flow correction"/>
    </sheetNames>
    <sheetDataSet>
      <sheetData sheetId="0"/>
      <sheetData sheetId="1"/>
      <sheetData sheetId="2"/>
      <sheetData sheetId="3">
        <row r="2">
          <cell r="D2">
            <v>2</v>
          </cell>
          <cell r="I2">
            <v>91</v>
          </cell>
          <cell r="N2">
            <v>240.455567168719</v>
          </cell>
          <cell r="T2">
            <v>212.21105176788399</v>
          </cell>
          <cell r="AE2">
            <v>1164.68617123694</v>
          </cell>
        </row>
        <row r="3">
          <cell r="D3">
            <v>2</v>
          </cell>
          <cell r="I3">
            <v>68</v>
          </cell>
          <cell r="N3">
            <v>234.51563266580399</v>
          </cell>
          <cell r="T3">
            <v>53.926828542522202</v>
          </cell>
          <cell r="AE3">
            <v>89.978088182483503</v>
          </cell>
        </row>
        <row r="4">
          <cell r="D4">
            <v>2</v>
          </cell>
          <cell r="I4">
            <v>79</v>
          </cell>
          <cell r="N4">
            <v>369.81837308494198</v>
          </cell>
          <cell r="T4">
            <v>52.322047679448403</v>
          </cell>
          <cell r="AE4">
            <v>22.110037374663499</v>
          </cell>
        </row>
        <row r="5">
          <cell r="D5">
            <v>6</v>
          </cell>
          <cell r="I5">
            <v>88</v>
          </cell>
          <cell r="N5">
            <v>966.03426067386999</v>
          </cell>
          <cell r="T5">
            <v>130.91477325515399</v>
          </cell>
          <cell r="W5">
            <v>5.2579655645439702</v>
          </cell>
          <cell r="AE5">
            <v>25.557605587870299</v>
          </cell>
        </row>
        <row r="6">
          <cell r="D6">
            <v>6</v>
          </cell>
          <cell r="I6">
            <v>76</v>
          </cell>
          <cell r="N6">
            <v>590.42444984646897</v>
          </cell>
          <cell r="T6">
            <v>77.567501360914505</v>
          </cell>
          <cell r="W6">
            <v>1.5988227665571799</v>
          </cell>
          <cell r="AE6">
            <v>46.742279570449398</v>
          </cell>
        </row>
        <row r="7">
          <cell r="D7">
            <v>6</v>
          </cell>
          <cell r="I7">
            <v>73</v>
          </cell>
          <cell r="N7">
            <v>955.24981575389904</v>
          </cell>
          <cell r="T7">
            <v>173.07661104542399</v>
          </cell>
          <cell r="W7">
            <v>3.0552671997337599</v>
          </cell>
          <cell r="AE7">
            <v>57.493593961725097</v>
          </cell>
        </row>
        <row r="8">
          <cell r="D8">
            <v>6</v>
          </cell>
          <cell r="I8">
            <v>83</v>
          </cell>
          <cell r="N8">
            <v>1058.43289131243</v>
          </cell>
          <cell r="T8">
            <v>158.02521772806301</v>
          </cell>
          <cell r="W8">
            <v>4.3082166315528596</v>
          </cell>
          <cell r="AE8">
            <v>36.784675817034902</v>
          </cell>
        </row>
        <row r="9">
          <cell r="D9">
            <v>6</v>
          </cell>
          <cell r="I9">
            <v>65</v>
          </cell>
          <cell r="N9">
            <v>507.89026024876699</v>
          </cell>
          <cell r="T9">
            <v>115.424571953822</v>
          </cell>
          <cell r="W9">
            <v>1.52183021107102</v>
          </cell>
          <cell r="AE9">
            <v>81.414938886949997</v>
          </cell>
        </row>
        <row r="10">
          <cell r="D10">
            <v>6</v>
          </cell>
          <cell r="I10">
            <v>60</v>
          </cell>
          <cell r="N10">
            <v>1004.66495251808</v>
          </cell>
          <cell r="T10">
            <v>286.22199757765299</v>
          </cell>
          <cell r="W10">
            <v>2.8836074504446101</v>
          </cell>
          <cell r="AE10">
            <v>105.738293747198</v>
          </cell>
        </row>
        <row r="12">
          <cell r="D12">
            <v>10</v>
          </cell>
          <cell r="I12">
            <v>46</v>
          </cell>
          <cell r="N12">
            <v>1737.3332997601001</v>
          </cell>
          <cell r="T12">
            <v>272.04723384214799</v>
          </cell>
          <cell r="W12">
            <v>5.4807272099678999</v>
          </cell>
          <cell r="AE12">
            <v>49.937887229483998</v>
          </cell>
        </row>
        <row r="13">
          <cell r="D13">
            <v>10</v>
          </cell>
          <cell r="I13">
            <v>82</v>
          </cell>
          <cell r="N13">
            <v>756.87546614893699</v>
          </cell>
          <cell r="T13">
            <v>83.241500384238293</v>
          </cell>
          <cell r="W13">
            <v>3.0183405074269598</v>
          </cell>
          <cell r="AE13">
            <v>30.192361993803399</v>
          </cell>
        </row>
        <row r="14">
          <cell r="D14">
            <v>10</v>
          </cell>
          <cell r="I14">
            <v>82</v>
          </cell>
          <cell r="N14">
            <v>2023.1377719090999</v>
          </cell>
          <cell r="T14">
            <v>131.13534492015501</v>
          </cell>
          <cell r="W14">
            <v>8.1591138786572905</v>
          </cell>
          <cell r="AE14">
            <v>15.8521484283996</v>
          </cell>
        </row>
        <row r="15">
          <cell r="D15">
            <v>10</v>
          </cell>
          <cell r="I15">
            <v>92</v>
          </cell>
          <cell r="N15">
            <v>1567.91723613312</v>
          </cell>
          <cell r="T15">
            <v>134.87340433345599</v>
          </cell>
          <cell r="W15">
            <v>14.020881563655401</v>
          </cell>
          <cell r="AE15">
            <v>9.6508409950448009</v>
          </cell>
        </row>
        <row r="16">
          <cell r="D16">
            <v>6</v>
          </cell>
          <cell r="I16">
            <v>69</v>
          </cell>
          <cell r="N16">
            <v>694.92378997595199</v>
          </cell>
          <cell r="T16">
            <v>64.080969141416148</v>
          </cell>
          <cell r="W16">
            <v>5.6416975012434953</v>
          </cell>
          <cell r="AE16">
            <v>19.217581577680761</v>
          </cell>
        </row>
        <row r="17">
          <cell r="D17">
            <v>6</v>
          </cell>
          <cell r="I17">
            <v>59.5</v>
          </cell>
          <cell r="N17">
            <v>813.10625308277497</v>
          </cell>
          <cell r="T17">
            <v>59.014210056954397</v>
          </cell>
          <cell r="W17">
            <v>3.4205132162007299</v>
          </cell>
          <cell r="AE17">
            <v>19.7546111827548</v>
          </cell>
        </row>
        <row r="18">
          <cell r="D18">
            <v>6</v>
          </cell>
          <cell r="I18">
            <v>58</v>
          </cell>
          <cell r="N18">
            <v>2307.1355309125547</v>
          </cell>
          <cell r="T18">
            <v>370.44649528630498</v>
          </cell>
          <cell r="W18">
            <v>10.056600832063186</v>
          </cell>
          <cell r="AE18">
            <v>46.433912416799295</v>
          </cell>
        </row>
        <row r="19">
          <cell r="D19">
            <v>6</v>
          </cell>
          <cell r="I19">
            <v>56.5</v>
          </cell>
          <cell r="N19">
            <v>678.77224948201547</v>
          </cell>
          <cell r="T19">
            <v>183.97267327796752</v>
          </cell>
          <cell r="W19">
            <v>1.3737176133085349</v>
          </cell>
          <cell r="AE19">
            <v>131.22776703681467</v>
          </cell>
        </row>
        <row r="20">
          <cell r="D20">
            <v>6</v>
          </cell>
          <cell r="I20">
            <v>97.5</v>
          </cell>
          <cell r="N20">
            <v>1218.098946152048</v>
          </cell>
          <cell r="T20">
            <v>100.35831167309004</v>
          </cell>
          <cell r="W20">
            <v>11.785095772987521</v>
          </cell>
          <cell r="AE20">
            <v>8.7601691413527192</v>
          </cell>
        </row>
        <row r="21">
          <cell r="D21">
            <v>6</v>
          </cell>
          <cell r="I21">
            <v>57.5</v>
          </cell>
          <cell r="N21">
            <v>617.78484753870498</v>
          </cell>
          <cell r="T21">
            <v>272.10633246732107</v>
          </cell>
          <cell r="AE21">
            <v>231.507148593534</v>
          </cell>
        </row>
        <row r="22">
          <cell r="D22">
            <v>6</v>
          </cell>
          <cell r="I22">
            <v>65</v>
          </cell>
          <cell r="N22">
            <v>112.06817055165099</v>
          </cell>
          <cell r="T22">
            <v>65.181053245881003</v>
          </cell>
          <cell r="AE22">
            <v>406.73866055953903</v>
          </cell>
        </row>
        <row r="23">
          <cell r="D23">
            <v>10</v>
          </cell>
          <cell r="I23">
            <v>52</v>
          </cell>
          <cell r="N23">
            <v>1936.8378010722599</v>
          </cell>
          <cell r="T23">
            <v>1052.03831149345</v>
          </cell>
          <cell r="AE23">
            <v>105.111939743034</v>
          </cell>
        </row>
        <row r="25">
          <cell r="D25">
            <v>6</v>
          </cell>
          <cell r="I25">
            <v>76</v>
          </cell>
          <cell r="N25">
            <v>492.48403491945697</v>
          </cell>
          <cell r="T25">
            <v>53.594990322213398</v>
          </cell>
          <cell r="AE25">
            <v>30.875490968013199</v>
          </cell>
        </row>
        <row r="26">
          <cell r="D26">
            <v>10</v>
          </cell>
          <cell r="I26">
            <v>62</v>
          </cell>
          <cell r="N26">
            <v>897.36354503244695</v>
          </cell>
          <cell r="T26">
            <v>74.566947960618904</v>
          </cell>
          <cell r="AE26">
            <v>7.5596721873483199</v>
          </cell>
        </row>
        <row r="27">
          <cell r="D27">
            <v>6</v>
          </cell>
          <cell r="I27">
            <v>60</v>
          </cell>
          <cell r="N27">
            <v>519.22350954689</v>
          </cell>
          <cell r="T27">
            <v>66.888475400709098</v>
          </cell>
          <cell r="AE27">
            <v>28.922762935912399</v>
          </cell>
        </row>
        <row r="28">
          <cell r="D28">
            <v>10</v>
          </cell>
          <cell r="I28">
            <v>59</v>
          </cell>
          <cell r="N28">
            <v>1106.9889966186599</v>
          </cell>
          <cell r="T28">
            <v>51.139944713199696</v>
          </cell>
          <cell r="AE28">
            <v>10.5864594295972</v>
          </cell>
        </row>
        <row r="74">
          <cell r="D74">
            <v>6</v>
          </cell>
          <cell r="T74">
            <v>53.594990322213398</v>
          </cell>
          <cell r="W74">
            <v>1.6149304873052901</v>
          </cell>
          <cell r="AE74">
            <v>30.875490968013199</v>
          </cell>
        </row>
        <row r="75">
          <cell r="D75">
            <v>6</v>
          </cell>
          <cell r="T75">
            <v>66.888475400709098</v>
          </cell>
          <cell r="W75">
            <v>2.2073858121706902</v>
          </cell>
          <cell r="AE75">
            <v>28.922762935912399</v>
          </cell>
        </row>
        <row r="76">
          <cell r="D76">
            <v>6</v>
          </cell>
          <cell r="T76">
            <v>306.11198926933503</v>
          </cell>
          <cell r="W76">
            <v>14.0711431057341</v>
          </cell>
          <cell r="AE76">
            <v>21.443220328276698</v>
          </cell>
        </row>
        <row r="77">
          <cell r="D77">
            <v>6</v>
          </cell>
          <cell r="T77">
            <v>110.95954372623601</v>
          </cell>
          <cell r="W77">
            <v>1.1863803460125499</v>
          </cell>
          <cell r="AE77">
            <v>97.800312664386297</v>
          </cell>
        </row>
        <row r="78">
          <cell r="D78">
            <v>6</v>
          </cell>
          <cell r="T78">
            <v>71.922962332411203</v>
          </cell>
          <cell r="W78">
            <v>0.59208416659788599</v>
          </cell>
          <cell r="AE78">
            <v>112.477471148756</v>
          </cell>
        </row>
        <row r="79">
          <cell r="D79">
            <v>6</v>
          </cell>
          <cell r="T79">
            <v>69.406940502516093</v>
          </cell>
          <cell r="W79">
            <v>7.4418789253239401</v>
          </cell>
          <cell r="AE79">
            <v>9.1882873450354907</v>
          </cell>
        </row>
        <row r="82">
          <cell r="D82">
            <v>10</v>
          </cell>
          <cell r="T82">
            <v>74.566947960618904</v>
          </cell>
          <cell r="W82">
            <v>9.6684645151817001</v>
          </cell>
          <cell r="AE82">
            <v>7.5596721873483199</v>
          </cell>
        </row>
        <row r="83">
          <cell r="D83">
            <v>10</v>
          </cell>
          <cell r="T83">
            <v>51.139944713199696</v>
          </cell>
          <cell r="W83">
            <v>4.6336406202307696</v>
          </cell>
          <cell r="AE83">
            <v>10.5864594295972</v>
          </cell>
        </row>
        <row r="84">
          <cell r="D84">
            <v>10</v>
          </cell>
          <cell r="T84">
            <v>434.78100130327499</v>
          </cell>
          <cell r="W84">
            <v>6.0420585583922701</v>
          </cell>
          <cell r="AE84">
            <v>71.424604505321895</v>
          </cell>
        </row>
        <row r="85">
          <cell r="D85">
            <v>10</v>
          </cell>
          <cell r="T85">
            <v>256.98580282969903</v>
          </cell>
          <cell r="W85">
            <v>1.5610548806045199</v>
          </cell>
          <cell r="AE85">
            <v>164.65522140924301</v>
          </cell>
        </row>
        <row r="86">
          <cell r="D86">
            <v>10</v>
          </cell>
          <cell r="T86">
            <v>472.28970260223099</v>
          </cell>
          <cell r="W86">
            <v>1.34272758324597</v>
          </cell>
          <cell r="AE86">
            <v>350.53682603831197</v>
          </cell>
        </row>
        <row r="87">
          <cell r="D87">
            <v>10</v>
          </cell>
          <cell r="T87">
            <v>131.30968284366401</v>
          </cell>
          <cell r="W87">
            <v>16.128312620651101</v>
          </cell>
          <cell r="AE87">
            <v>8.3320509376699494</v>
          </cell>
        </row>
        <row r="89">
          <cell r="K89">
            <v>578.33078371293948</v>
          </cell>
          <cell r="L89">
            <v>699.67445899660936</v>
          </cell>
          <cell r="M89">
            <v>774.88811712772406</v>
          </cell>
          <cell r="N89">
            <v>831.97362243923726</v>
          </cell>
          <cell r="O89">
            <v>720.59922514261768</v>
          </cell>
          <cell r="P89">
            <v>454.45187231718279</v>
          </cell>
          <cell r="Q89">
            <v>293.87587568810784</v>
          </cell>
          <cell r="R89">
            <v>203.38327142096031</v>
          </cell>
          <cell r="S89">
            <v>151.2637960863442</v>
          </cell>
          <cell r="T89">
            <v>113.14748359223681</v>
          </cell>
          <cell r="U89">
            <v>95.716732140605828</v>
          </cell>
        </row>
        <row r="92">
          <cell r="K92">
            <v>835.17834997687885</v>
          </cell>
          <cell r="L92">
            <v>978.5358246010918</v>
          </cell>
          <cell r="M92">
            <v>1106.1421089879225</v>
          </cell>
          <cell r="N92">
            <v>1277.9669166087795</v>
          </cell>
          <cell r="O92">
            <v>1173.8513783760741</v>
          </cell>
          <cell r="P92">
            <v>877.4463709388624</v>
          </cell>
          <cell r="Q92">
            <v>656.6736806374447</v>
          </cell>
          <cell r="R92">
            <v>485.14404949136434</v>
          </cell>
          <cell r="S92">
            <v>282.43391735863469</v>
          </cell>
          <cell r="T92">
            <v>236.84551370878125</v>
          </cell>
          <cell r="U92">
            <v>117.5286891186708</v>
          </cell>
        </row>
        <row r="94">
          <cell r="K94">
            <v>0.5</v>
          </cell>
          <cell r="L94">
            <v>1</v>
          </cell>
          <cell r="M94">
            <v>2</v>
          </cell>
          <cell r="N94">
            <v>5</v>
          </cell>
          <cell r="O94">
            <v>10</v>
          </cell>
          <cell r="P94">
            <v>20</v>
          </cell>
          <cell r="Q94">
            <v>30</v>
          </cell>
          <cell r="R94">
            <v>40</v>
          </cell>
          <cell r="S94">
            <v>50</v>
          </cell>
          <cell r="T94">
            <v>60</v>
          </cell>
          <cell r="U94">
            <v>75</v>
          </cell>
        </row>
      </sheetData>
      <sheetData sheetId="4"/>
      <sheetData sheetId="5">
        <row r="2">
          <cell r="D2">
            <v>2</v>
          </cell>
          <cell r="I2">
            <v>70</v>
          </cell>
          <cell r="N2">
            <v>182.35708321053201</v>
          </cell>
          <cell r="T2">
            <v>49.070316393382797</v>
          </cell>
          <cell r="AE2">
            <v>325.825435160062</v>
          </cell>
        </row>
        <row r="3">
          <cell r="D3">
            <v>2</v>
          </cell>
          <cell r="I3">
            <v>68</v>
          </cell>
          <cell r="J3">
            <v>0</v>
          </cell>
          <cell r="K3">
            <v>154.58394026842601</v>
          </cell>
          <cell r="L3">
            <v>177.923437617791</v>
          </cell>
          <cell r="M3">
            <v>203.47749446339901</v>
          </cell>
          <cell r="N3">
            <v>234.51563266580399</v>
          </cell>
          <cell r="O3">
            <v>243.609246941442</v>
          </cell>
          <cell r="P3">
            <v>181.31609579673599</v>
          </cell>
          <cell r="Q3">
            <v>129.19505263324999</v>
          </cell>
          <cell r="R3">
            <v>85.814983036007504</v>
          </cell>
          <cell r="S3">
            <v>65.551534718952496</v>
          </cell>
          <cell r="T3">
            <v>53.926828542522202</v>
          </cell>
          <cell r="U3">
            <v>46.129995185363498</v>
          </cell>
          <cell r="AE3">
            <v>89.978088182483503</v>
          </cell>
        </row>
        <row r="4">
          <cell r="D4">
            <v>2</v>
          </cell>
          <cell r="I4">
            <v>63</v>
          </cell>
          <cell r="N4">
            <v>592.80808151957001</v>
          </cell>
          <cell r="T4">
            <v>21.726012793176999</v>
          </cell>
          <cell r="AE4">
            <v>7.6562623941996897</v>
          </cell>
        </row>
        <row r="5">
          <cell r="D5">
            <v>2</v>
          </cell>
          <cell r="I5">
            <v>74</v>
          </cell>
          <cell r="N5">
            <v>413.27010130939999</v>
          </cell>
          <cell r="T5">
            <v>33.3985424297924</v>
          </cell>
          <cell r="AE5">
            <v>14.579419899431</v>
          </cell>
        </row>
        <row r="6">
          <cell r="D6">
            <v>2</v>
          </cell>
          <cell r="I6">
            <v>71</v>
          </cell>
          <cell r="N6">
            <v>328.40240268498502</v>
          </cell>
          <cell r="T6">
            <v>18.342171530143698</v>
          </cell>
          <cell r="AE6">
            <v>7.4789881630570196</v>
          </cell>
        </row>
        <row r="7">
          <cell r="D7">
            <v>2</v>
          </cell>
          <cell r="I7">
            <v>62</v>
          </cell>
          <cell r="N7">
            <v>118.294853990852</v>
          </cell>
          <cell r="T7">
            <v>22.3458957727578</v>
          </cell>
          <cell r="AE7">
            <v>59.283644191784802</v>
          </cell>
        </row>
        <row r="8">
          <cell r="D8">
            <v>6</v>
          </cell>
          <cell r="I8">
            <v>72</v>
          </cell>
          <cell r="N8">
            <v>318.022155939953</v>
          </cell>
          <cell r="T8">
            <v>71.922962332411203</v>
          </cell>
          <cell r="AE8">
            <v>112.477471148756</v>
          </cell>
        </row>
        <row r="9">
          <cell r="D9">
            <v>6</v>
          </cell>
          <cell r="I9">
            <v>76</v>
          </cell>
          <cell r="N9">
            <v>1191.74292961319</v>
          </cell>
          <cell r="T9">
            <v>42.583859981078497</v>
          </cell>
          <cell r="AE9">
            <v>7.1647108034074503</v>
          </cell>
        </row>
        <row r="10">
          <cell r="D10">
            <v>6</v>
          </cell>
          <cell r="I10">
            <v>54</v>
          </cell>
          <cell r="J10">
            <v>0</v>
          </cell>
          <cell r="K10">
            <v>136.16970255221401</v>
          </cell>
          <cell r="L10">
            <v>289.35210902011698</v>
          </cell>
          <cell r="M10">
            <v>389.76683739268202</v>
          </cell>
          <cell r="N10">
            <v>537.01752410290703</v>
          </cell>
          <cell r="O10">
            <v>601.36578782126696</v>
          </cell>
          <cell r="P10">
            <v>444.42719187893999</v>
          </cell>
          <cell r="Q10">
            <v>291.39319660568799</v>
          </cell>
          <cell r="R10">
            <v>189.62695225693801</v>
          </cell>
          <cell r="S10">
            <v>119.395040729546</v>
          </cell>
          <cell r="T10">
            <v>110.95954372623601</v>
          </cell>
          <cell r="U10">
            <v>85.112428424058507</v>
          </cell>
          <cell r="AE10">
            <v>97.800312664386297</v>
          </cell>
        </row>
        <row r="11">
          <cell r="D11">
            <v>6</v>
          </cell>
          <cell r="I11">
            <v>64</v>
          </cell>
          <cell r="N11">
            <v>2259.5489249806701</v>
          </cell>
          <cell r="T11">
            <v>306.11198926933503</v>
          </cell>
          <cell r="AE11">
            <v>21.443220328276698</v>
          </cell>
        </row>
        <row r="12">
          <cell r="D12">
            <v>6</v>
          </cell>
          <cell r="I12">
            <v>105</v>
          </cell>
          <cell r="N12">
            <v>865.54558514554606</v>
          </cell>
          <cell r="T12">
            <v>69.406940502516093</v>
          </cell>
          <cell r="AE12">
            <v>9.1882873450354907</v>
          </cell>
        </row>
        <row r="13">
          <cell r="D13">
            <v>6</v>
          </cell>
          <cell r="I13">
            <v>76</v>
          </cell>
          <cell r="N13">
            <v>492.48403491945697</v>
          </cell>
          <cell r="T13">
            <v>53.594990322213398</v>
          </cell>
          <cell r="AE13">
            <v>30.875490968013199</v>
          </cell>
        </row>
        <row r="14">
          <cell r="D14">
            <v>6</v>
          </cell>
          <cell r="I14">
            <v>60</v>
          </cell>
          <cell r="N14">
            <v>519.22350954689</v>
          </cell>
          <cell r="T14">
            <v>66.888475400709098</v>
          </cell>
          <cell r="AE14">
            <v>28.922762935912399</v>
          </cell>
        </row>
        <row r="15">
          <cell r="D15">
            <v>10</v>
          </cell>
          <cell r="I15">
            <v>43</v>
          </cell>
          <cell r="N15">
            <v>917.54753913745697</v>
          </cell>
          <cell r="T15">
            <v>472.28970260223099</v>
          </cell>
          <cell r="W15">
            <v>1.34272758324597</v>
          </cell>
          <cell r="AE15">
            <v>350.53682603831197</v>
          </cell>
        </row>
        <row r="16">
          <cell r="D16">
            <v>10</v>
          </cell>
          <cell r="I16">
            <v>82</v>
          </cell>
          <cell r="N16">
            <v>2023.1377719090999</v>
          </cell>
          <cell r="T16">
            <v>131.13534492015501</v>
          </cell>
          <cell r="W16">
            <v>8.1591138786572905</v>
          </cell>
          <cell r="AE16">
            <v>15.8521484283996</v>
          </cell>
        </row>
        <row r="17">
          <cell r="D17">
            <v>10</v>
          </cell>
          <cell r="I17">
            <v>59</v>
          </cell>
          <cell r="J17">
            <v>0</v>
          </cell>
          <cell r="K17">
            <v>384.041560143168</v>
          </cell>
          <cell r="L17">
            <v>487.02632912194002</v>
          </cell>
          <cell r="M17">
            <v>640.42289903407504</v>
          </cell>
          <cell r="N17">
            <v>820.52697486112402</v>
          </cell>
          <cell r="O17">
            <v>914.30410163908698</v>
          </cell>
          <cell r="P17">
            <v>799.36615689294797</v>
          </cell>
          <cell r="Q17">
            <v>657.05173773180297</v>
          </cell>
          <cell r="R17">
            <v>472.900708657672</v>
          </cell>
          <cell r="S17">
            <v>362.154592300697</v>
          </cell>
          <cell r="T17">
            <v>256.98580282969903</v>
          </cell>
          <cell r="U17">
            <v>155.32438343498299</v>
          </cell>
          <cell r="W17">
            <v>1.5610548806045199</v>
          </cell>
          <cell r="AE17">
            <v>164.65522140924301</v>
          </cell>
        </row>
        <row r="18">
          <cell r="D18">
            <v>10</v>
          </cell>
          <cell r="I18">
            <v>52</v>
          </cell>
          <cell r="N18">
            <v>2354.7221368444398</v>
          </cell>
          <cell r="T18">
            <v>434.78100130327499</v>
          </cell>
          <cell r="W18">
            <v>6.0420585583922701</v>
          </cell>
          <cell r="AE18">
            <v>71.424604505321895</v>
          </cell>
        </row>
        <row r="19">
          <cell r="D19">
            <v>10</v>
          </cell>
          <cell r="I19">
            <v>90</v>
          </cell>
          <cell r="N19">
            <v>1570.65230715855</v>
          </cell>
          <cell r="T19">
            <v>131.30968284366401</v>
          </cell>
          <cell r="W19">
            <v>16.128312620651101</v>
          </cell>
          <cell r="AE19">
            <v>8.3320509376699494</v>
          </cell>
        </row>
        <row r="20">
          <cell r="D20">
            <v>10</v>
          </cell>
          <cell r="I20">
            <v>62</v>
          </cell>
          <cell r="N20">
            <v>897.36354503244695</v>
          </cell>
          <cell r="T20">
            <v>74.566947960618904</v>
          </cell>
          <cell r="W20">
            <v>9.6684645151817001</v>
          </cell>
          <cell r="AE20">
            <v>7.5596721873483199</v>
          </cell>
        </row>
        <row r="21">
          <cell r="D21">
            <v>10</v>
          </cell>
          <cell r="I21">
            <v>59</v>
          </cell>
          <cell r="N21">
            <v>1106.9889966186599</v>
          </cell>
          <cell r="T21">
            <v>51.139944713199696</v>
          </cell>
          <cell r="W21">
            <v>4.6336406202307696</v>
          </cell>
          <cell r="AE21">
            <v>10.5864594295972</v>
          </cell>
        </row>
        <row r="23">
          <cell r="I23">
            <v>0.12216518172928027</v>
          </cell>
          <cell r="N23">
            <v>2.0063163580737011E-3</v>
          </cell>
          <cell r="T23">
            <v>6.120577654512447E-2</v>
          </cell>
          <cell r="AE23">
            <v>0.22136179554833868</v>
          </cell>
        </row>
        <row r="25">
          <cell r="I25">
            <v>57.5</v>
          </cell>
          <cell r="W25">
            <v>0.96740587492192798</v>
          </cell>
        </row>
        <row r="26">
          <cell r="I26">
            <v>79</v>
          </cell>
          <cell r="W26">
            <v>6.8575460985019703</v>
          </cell>
        </row>
        <row r="27">
          <cell r="I27">
            <v>56.5</v>
          </cell>
          <cell r="W27">
            <v>1.3737176133085349</v>
          </cell>
        </row>
        <row r="28">
          <cell r="I28">
            <v>58</v>
          </cell>
          <cell r="W28">
            <v>10.056600832063186</v>
          </cell>
        </row>
        <row r="29">
          <cell r="I29">
            <v>97.5</v>
          </cell>
          <cell r="W29">
            <v>11.785095772987521</v>
          </cell>
        </row>
        <row r="30">
          <cell r="I30">
            <v>69</v>
          </cell>
          <cell r="J30">
            <v>0</v>
          </cell>
          <cell r="K30">
            <v>142.28660268795355</v>
          </cell>
          <cell r="L30">
            <v>174.16813945941755</v>
          </cell>
          <cell r="M30">
            <v>191.70786726541692</v>
          </cell>
          <cell r="N30">
            <v>186.46151405627006</v>
          </cell>
          <cell r="O30">
            <v>139.03367238911875</v>
          </cell>
          <cell r="P30">
            <v>75.449414301184504</v>
          </cell>
          <cell r="Q30">
            <v>43.556597071793114</v>
          </cell>
          <cell r="R30">
            <v>29.048392321601224</v>
          </cell>
          <cell r="S30">
            <v>18.99501712810714</v>
          </cell>
          <cell r="T30">
            <v>15.068941036383702</v>
          </cell>
          <cell r="U30">
            <v>12.357011292550899</v>
          </cell>
          <cell r="W30">
            <v>5.6416975012434953</v>
          </cell>
        </row>
        <row r="31">
          <cell r="I31">
            <v>59.5</v>
          </cell>
          <cell r="W31">
            <v>3.4205132162007299</v>
          </cell>
        </row>
        <row r="39">
          <cell r="J39">
            <v>0</v>
          </cell>
          <cell r="K39">
            <v>146.22401548296668</v>
          </cell>
          <cell r="L39">
            <v>197.48186321790573</v>
          </cell>
          <cell r="M39">
            <v>144.33469055923987</v>
          </cell>
          <cell r="N39">
            <v>235.2210051745771</v>
          </cell>
          <cell r="O39">
            <v>193.56401948607365</v>
          </cell>
          <cell r="P39">
            <v>96.850481912665103</v>
          </cell>
          <cell r="Q39">
            <v>55.412500133280567</v>
          </cell>
          <cell r="R39">
            <v>42.144477183457973</v>
          </cell>
          <cell r="S39">
            <v>35.162508296375918</v>
          </cell>
          <cell r="T39">
            <v>30.302122552347374</v>
          </cell>
          <cell r="U39">
            <v>27.88326165697671</v>
          </cell>
        </row>
        <row r="51">
          <cell r="S51">
            <v>3.0106589801150543</v>
          </cell>
          <cell r="T51">
            <v>1</v>
          </cell>
          <cell r="U51">
            <v>1.2677984972327143</v>
          </cell>
          <cell r="V51">
            <v>2.1165069987634491</v>
          </cell>
        </row>
        <row r="52">
          <cell r="S52">
            <v>3.3641506639512917</v>
          </cell>
          <cell r="T52">
            <v>1</v>
          </cell>
          <cell r="U52">
            <v>0.46852874708216691</v>
          </cell>
          <cell r="V52">
            <v>1.2125315122084912</v>
          </cell>
        </row>
        <row r="53">
          <cell r="S53">
            <v>1.8249318731819648</v>
          </cell>
          <cell r="T53">
            <v>1</v>
          </cell>
          <cell r="U53">
            <v>0.3158131672117287</v>
          </cell>
          <cell r="V53">
            <v>0.68358583856758715</v>
          </cell>
        </row>
        <row r="54">
          <cell r="S54">
            <v>0.40786909345616507</v>
          </cell>
          <cell r="T54">
            <v>1</v>
          </cell>
          <cell r="U54">
            <v>-0.57060641676438606</v>
          </cell>
          <cell r="V54">
            <v>2.3308711756851119</v>
          </cell>
        </row>
        <row r="55">
          <cell r="S55">
            <v>1.6376935334742693</v>
          </cell>
          <cell r="T55">
            <v>1</v>
          </cell>
          <cell r="U55">
            <v>1.1672366323735972</v>
          </cell>
          <cell r="V55">
            <v>-9.318781348606528E-2</v>
          </cell>
        </row>
        <row r="56">
          <cell r="S56">
            <v>1.3349285317314672</v>
          </cell>
          <cell r="T56">
            <v>1</v>
          </cell>
          <cell r="U56">
            <v>4.9869230231170629</v>
          </cell>
          <cell r="V56">
            <v>-0.75515621127514743</v>
          </cell>
        </row>
        <row r="57">
          <cell r="S57">
            <v>0.75800915891956744</v>
          </cell>
          <cell r="T57">
            <v>1</v>
          </cell>
          <cell r="U57">
            <v>1.0991530319179494</v>
          </cell>
          <cell r="V57">
            <v>-0.63397482277004868</v>
          </cell>
        </row>
        <row r="71">
          <cell r="I71">
            <v>0</v>
          </cell>
          <cell r="J71">
            <v>0.5</v>
          </cell>
          <cell r="K71">
            <v>1</v>
          </cell>
          <cell r="L71">
            <v>2</v>
          </cell>
          <cell r="M71">
            <v>5</v>
          </cell>
          <cell r="N71">
            <v>10</v>
          </cell>
          <cell r="O71">
            <v>20</v>
          </cell>
          <cell r="P71">
            <v>30</v>
          </cell>
          <cell r="Q71">
            <v>40</v>
          </cell>
          <cell r="R71">
            <v>50</v>
          </cell>
          <cell r="S71">
            <v>60</v>
          </cell>
          <cell r="T71">
            <v>75</v>
          </cell>
        </row>
        <row r="76">
          <cell r="I76">
            <v>0</v>
          </cell>
          <cell r="J76">
            <v>581.64892152573623</v>
          </cell>
          <cell r="K76">
            <v>713.80145570137302</v>
          </cell>
          <cell r="L76">
            <v>813.25259350005774</v>
          </cell>
          <cell r="M76">
            <v>883.36923774980198</v>
          </cell>
          <cell r="N76">
            <v>757.51334978706848</v>
          </cell>
          <cell r="O76">
            <v>453.41943881655527</v>
          </cell>
          <cell r="P76">
            <v>283.23739506005091</v>
          </cell>
          <cell r="Q76">
            <v>191.50358692778084</v>
          </cell>
          <cell r="R76">
            <v>139.07501249423947</v>
          </cell>
          <cell r="S76">
            <v>103.06696593349992</v>
          </cell>
        </row>
        <row r="78">
          <cell r="I78">
            <v>0</v>
          </cell>
          <cell r="J78">
            <v>224.03009827448062</v>
          </cell>
          <cell r="K78">
            <v>235.88865278293397</v>
          </cell>
          <cell r="L78">
            <v>258.9899784803477</v>
          </cell>
          <cell r="M78">
            <v>235.35699040054297</v>
          </cell>
          <cell r="N78">
            <v>191.22663609271706</v>
          </cell>
          <cell r="O78">
            <v>128.48030166212391</v>
          </cell>
          <cell r="P78">
            <v>93.946134556840747</v>
          </cell>
          <cell r="Q78">
            <v>66.319579191068726</v>
          </cell>
          <cell r="R78">
            <v>49.57258176645523</v>
          </cell>
          <cell r="S78">
            <v>32.200610404833618</v>
          </cell>
          <cell r="T78">
            <v>24.41480529476782</v>
          </cell>
        </row>
        <row r="80">
          <cell r="I80">
            <v>0</v>
          </cell>
          <cell r="J80">
            <v>757.19580194223749</v>
          </cell>
          <cell r="K80">
            <v>968.97425097654616</v>
          </cell>
          <cell r="L80">
            <v>1203.9199570839162</v>
          </cell>
          <cell r="M80">
            <v>1384.4198959373969</v>
          </cell>
          <cell r="N80">
            <v>1243.0822344521107</v>
          </cell>
          <cell r="O80">
            <v>882.32942216411084</v>
          </cell>
          <cell r="P80">
            <v>633.94461529429316</v>
          </cell>
          <cell r="Q80">
            <v>457.58518617016153</v>
          </cell>
          <cell r="R80">
            <v>267.15891795017916</v>
          </cell>
          <cell r="S80">
            <v>221.74406102469177</v>
          </cell>
        </row>
        <row r="82">
          <cell r="I82">
            <v>0</v>
          </cell>
          <cell r="J82">
            <v>175.51006415010596</v>
          </cell>
          <cell r="K82">
            <v>204.95778319464847</v>
          </cell>
          <cell r="L82">
            <v>242.49089489091091</v>
          </cell>
          <cell r="M82">
            <v>230.64435060756512</v>
          </cell>
          <cell r="N82">
            <v>217.34788035377773</v>
          </cell>
          <cell r="O82">
            <v>193.72983755742467</v>
          </cell>
          <cell r="P82">
            <v>171.88507878491396</v>
          </cell>
          <cell r="Q82">
            <v>141.61913238180068</v>
          </cell>
          <cell r="R82">
            <v>75.364892776044442</v>
          </cell>
          <cell r="S82">
            <v>64.83587706583117</v>
          </cell>
          <cell r="T82">
            <v>24.941702708406734</v>
          </cell>
        </row>
        <row r="94">
          <cell r="I94">
            <v>0</v>
          </cell>
          <cell r="J94">
            <v>194.44543547961737</v>
          </cell>
          <cell r="K94">
            <v>247.18661491835519</v>
          </cell>
          <cell r="L94">
            <v>303.62530758740576</v>
          </cell>
          <cell r="M94">
            <v>351.85179277102867</v>
          </cell>
          <cell r="N94">
            <v>340.42429398729979</v>
          </cell>
          <cell r="O94">
            <v>269.97184534652132</v>
          </cell>
          <cell r="P94">
            <v>179.47111938671307</v>
          </cell>
          <cell r="Q94">
            <v>122.116307298617</v>
          </cell>
          <cell r="R94">
            <v>90.980868935314888</v>
          </cell>
          <cell r="S94">
            <v>66.419448697076916</v>
          </cell>
          <cell r="T94">
            <v>55.146055251705199</v>
          </cell>
        </row>
        <row r="96">
          <cell r="I96">
            <v>0</v>
          </cell>
          <cell r="J96">
            <v>31.172560928450608</v>
          </cell>
          <cell r="K96">
            <v>38.828981085865649</v>
          </cell>
          <cell r="L96">
            <v>56.15091896711909</v>
          </cell>
          <cell r="M96">
            <v>74.931395923802299</v>
          </cell>
          <cell r="N96">
            <v>82.029376413766201</v>
          </cell>
          <cell r="O96">
            <v>89.595536413898685</v>
          </cell>
          <cell r="P96">
            <v>64.74087133373483</v>
          </cell>
          <cell r="Q96">
            <v>45.919957202348229</v>
          </cell>
          <cell r="R96">
            <v>34.493941017049245</v>
          </cell>
          <cell r="S96">
            <v>23.190057664872601</v>
          </cell>
          <cell r="T96">
            <v>18.040522700895121</v>
          </cell>
        </row>
        <row r="98">
          <cell r="I98">
            <v>0</v>
          </cell>
          <cell r="J98">
            <v>126.47444979365405</v>
          </cell>
          <cell r="K98">
            <v>161.48119361307153</v>
          </cell>
          <cell r="L98">
            <v>198.73877086801929</v>
          </cell>
          <cell r="M98">
            <v>281.64462724045012</v>
          </cell>
          <cell r="N98">
            <v>288.55274003946897</v>
          </cell>
          <cell r="O98">
            <v>233.29515080380415</v>
          </cell>
          <cell r="P98">
            <v>184.63130452035196</v>
          </cell>
          <cell r="Q98">
            <v>142.2732736519867</v>
          </cell>
          <cell r="R98">
            <v>74.739161358182272</v>
          </cell>
          <cell r="S98">
            <v>69.500447983478182</v>
          </cell>
          <cell r="T98">
            <v>39.00369040807098</v>
          </cell>
        </row>
        <row r="100">
          <cell r="I100">
            <v>0</v>
          </cell>
          <cell r="J100">
            <v>22.866083307213867</v>
          </cell>
          <cell r="K100">
            <v>28.056980282703314</v>
          </cell>
          <cell r="L100">
            <v>35.779814991415712</v>
          </cell>
          <cell r="M100">
            <v>62.199093305876808</v>
          </cell>
          <cell r="N100">
            <v>87.475864351584818</v>
          </cell>
          <cell r="O100">
            <v>97.602725979775002</v>
          </cell>
          <cell r="P100">
            <v>90.043609246016032</v>
          </cell>
          <cell r="Q100">
            <v>74.565428538397612</v>
          </cell>
          <cell r="R100">
            <v>30.420539405621213</v>
          </cell>
          <cell r="S100">
            <v>33.19964988926646</v>
          </cell>
          <cell r="T100">
            <v>17.246839789090814</v>
          </cell>
        </row>
        <row r="102">
          <cell r="I102" t="e">
            <v>#DIV/0!</v>
          </cell>
          <cell r="J102" t="e">
            <v>#DIV/0!</v>
          </cell>
          <cell r="K102" t="e">
            <v>#DIV/0!</v>
          </cell>
          <cell r="L102" t="e">
            <v>#DIV/0!</v>
          </cell>
          <cell r="M102" t="e">
            <v>#DIV/0!</v>
          </cell>
          <cell r="N102" t="e">
            <v>#DIV/0!</v>
          </cell>
          <cell r="O102" t="e">
            <v>#DIV/0!</v>
          </cell>
          <cell r="P102" t="e">
            <v>#DIV/0!</v>
          </cell>
          <cell r="Q102">
            <v>1.7626059764042543</v>
          </cell>
          <cell r="R102">
            <v>1.6792092029571564</v>
          </cell>
          <cell r="S102">
            <v>1</v>
          </cell>
          <cell r="T102">
            <v>1.2478352403101189</v>
          </cell>
        </row>
        <row r="104">
          <cell r="I104" t="e">
            <v>#DIV/0!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>
            <v>0.33469912109823724</v>
          </cell>
          <cell r="R104">
            <v>0.30772493885847274</v>
          </cell>
          <cell r="S104">
            <v>0</v>
          </cell>
          <cell r="T104">
            <v>0.54187885421308835</v>
          </cell>
        </row>
        <row r="155">
          <cell r="I155">
            <v>54</v>
          </cell>
          <cell r="N155">
            <v>537.01752410290703</v>
          </cell>
          <cell r="T155">
            <v>110.95954372623601</v>
          </cell>
          <cell r="W155">
            <v>1.1863803460125499</v>
          </cell>
          <cell r="AD155">
            <v>159.83655907169933</v>
          </cell>
          <cell r="AE155">
            <v>97.800312664386297</v>
          </cell>
        </row>
        <row r="156">
          <cell r="I156">
            <v>59</v>
          </cell>
          <cell r="N156">
            <v>820.52697486112402</v>
          </cell>
          <cell r="T156">
            <v>256.98580282969903</v>
          </cell>
          <cell r="W156">
            <v>1.5610548806045199</v>
          </cell>
          <cell r="AD156">
            <v>302.93663248696339</v>
          </cell>
          <cell r="AE156">
            <v>164.65522140924301</v>
          </cell>
        </row>
        <row r="157">
          <cell r="I157">
            <v>105</v>
          </cell>
          <cell r="N157">
            <v>865.54558514554606</v>
          </cell>
          <cell r="T157">
            <v>69.406940502516093</v>
          </cell>
          <cell r="W157">
            <v>7.4418789253239401</v>
          </cell>
          <cell r="AD157">
            <v>16.788700228323115</v>
          </cell>
          <cell r="AE157">
            <v>9.1882873450354907</v>
          </cell>
        </row>
        <row r="158">
          <cell r="I158">
            <v>90</v>
          </cell>
          <cell r="N158">
            <v>1570.65230715855</v>
          </cell>
          <cell r="T158">
            <v>131.30968284366401</v>
          </cell>
          <cell r="W158">
            <v>16.128312620651101</v>
          </cell>
          <cell r="AD158">
            <v>16.856592125968206</v>
          </cell>
          <cell r="AE158">
            <v>8.3320509376699494</v>
          </cell>
        </row>
        <row r="159">
          <cell r="I159">
            <v>72</v>
          </cell>
          <cell r="N159">
            <v>318.022155939953</v>
          </cell>
          <cell r="T159">
            <v>71.922962332411203</v>
          </cell>
          <cell r="W159">
            <v>0.59208416659788599</v>
          </cell>
          <cell r="AD159">
            <v>209.55578205990318</v>
          </cell>
          <cell r="AE159">
            <v>112.477471148756</v>
          </cell>
        </row>
        <row r="160">
          <cell r="I160">
            <v>43</v>
          </cell>
          <cell r="N160">
            <v>917.54753913745697</v>
          </cell>
          <cell r="T160">
            <v>472.28970260223099</v>
          </cell>
          <cell r="W160">
            <v>1.34272758324597</v>
          </cell>
          <cell r="AD160">
            <v>800.0444729769755</v>
          </cell>
          <cell r="AE160">
            <v>350.53682603831197</v>
          </cell>
        </row>
        <row r="161">
          <cell r="I161">
            <v>76</v>
          </cell>
          <cell r="N161">
            <v>1191.74292961319</v>
          </cell>
          <cell r="T161">
            <v>42.583859981078497</v>
          </cell>
          <cell r="W161">
            <v>5.55597831834665</v>
          </cell>
          <cell r="AD161">
            <v>21.638939729426578</v>
          </cell>
          <cell r="AE161">
            <v>7.1647108034074503</v>
          </cell>
        </row>
        <row r="162">
          <cell r="I162">
            <v>82</v>
          </cell>
          <cell r="N162">
            <v>2023.1377719090999</v>
          </cell>
          <cell r="T162">
            <v>131.13534492015501</v>
          </cell>
          <cell r="W162">
            <v>8.1591138786572905</v>
          </cell>
          <cell r="AD162">
            <v>35.816635309793753</v>
          </cell>
          <cell r="AE162">
            <v>15.8521484283996</v>
          </cell>
        </row>
        <row r="163">
          <cell r="I163">
            <v>64</v>
          </cell>
          <cell r="N163">
            <v>2259.5489249806701</v>
          </cell>
          <cell r="T163">
            <v>306.11198926933503</v>
          </cell>
          <cell r="W163">
            <v>14.0711431057341</v>
          </cell>
          <cell r="AD163">
            <v>43.608670077289275</v>
          </cell>
          <cell r="AE163">
            <v>21.443220328276698</v>
          </cell>
        </row>
        <row r="164">
          <cell r="I164">
            <v>52</v>
          </cell>
          <cell r="N164">
            <v>2354.7221368444398</v>
          </cell>
          <cell r="T164">
            <v>434.78100130327499</v>
          </cell>
          <cell r="W164">
            <v>6.0420585583922701</v>
          </cell>
          <cell r="AD164">
            <v>142.82685104234673</v>
          </cell>
          <cell r="AE164">
            <v>71.424604505321895</v>
          </cell>
        </row>
        <row r="165">
          <cell r="I165">
            <v>76</v>
          </cell>
          <cell r="N165">
            <v>492.48403491945697</v>
          </cell>
          <cell r="T165">
            <v>53.594990322213398</v>
          </cell>
          <cell r="W165">
            <v>1.6149304873052901</v>
          </cell>
          <cell r="AD165">
            <v>46.44508451886157</v>
          </cell>
          <cell r="AE165">
            <v>30.875490968013199</v>
          </cell>
        </row>
        <row r="166">
          <cell r="I166">
            <v>62</v>
          </cell>
          <cell r="N166">
            <v>897.36354503244695</v>
          </cell>
          <cell r="T166">
            <v>74.566947960618904</v>
          </cell>
          <cell r="W166">
            <v>9.6684645151817001</v>
          </cell>
          <cell r="AD166">
            <v>12.844095258210524</v>
          </cell>
          <cell r="AE166">
            <v>7.5596721873483199</v>
          </cell>
        </row>
        <row r="167">
          <cell r="I167">
            <v>60</v>
          </cell>
          <cell r="N167">
            <v>519.22350954689</v>
          </cell>
          <cell r="T167">
            <v>66.888475400709098</v>
          </cell>
          <cell r="W167">
            <v>2.2073858121706902</v>
          </cell>
          <cell r="AD167">
            <v>42.144477183457973</v>
          </cell>
          <cell r="AE167">
            <v>28.922762935912399</v>
          </cell>
        </row>
        <row r="168">
          <cell r="I168">
            <v>59</v>
          </cell>
          <cell r="N168">
            <v>1106.9889966186599</v>
          </cell>
          <cell r="T168">
            <v>51.139944713199696</v>
          </cell>
          <cell r="W168">
            <v>4.6336406202307696</v>
          </cell>
          <cell r="AD168">
            <v>22.596172364993961</v>
          </cell>
          <cell r="AE168">
            <v>10.5864594295972</v>
          </cell>
        </row>
        <row r="175">
          <cell r="F175" t="str">
            <v>6mM</v>
          </cell>
        </row>
        <row r="176">
          <cell r="F176" t="str">
            <v>10mM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tabSelected="1" topLeftCell="B1" zoomScale="85" zoomScaleNormal="85" zoomScalePageLayoutView="85" workbookViewId="0">
      <pane ySplit="1" topLeftCell="A2" activePane="bottomLeft" state="frozen"/>
      <selection pane="bottomLeft" activeCell="U33" sqref="U33"/>
    </sheetView>
  </sheetViews>
  <sheetFormatPr baseColWidth="10" defaultColWidth="8.83203125" defaultRowHeight="14" x14ac:dyDescent="0"/>
  <cols>
    <col min="1" max="1" width="22.5" style="2" customWidth="1"/>
    <col min="2" max="2" width="14" style="2" customWidth="1"/>
    <col min="3" max="3" width="17" style="2" customWidth="1"/>
    <col min="4" max="4" width="12.83203125" style="2" customWidth="1"/>
    <col min="5" max="5" width="12.33203125" style="2" bestFit="1" customWidth="1"/>
    <col min="6" max="6" width="12.33203125" style="23" customWidth="1"/>
    <col min="7" max="7" width="12.5" style="2" customWidth="1"/>
    <col min="8" max="8" width="10.33203125" style="5" customWidth="1"/>
    <col min="9" max="9" width="9.83203125" style="171" customWidth="1"/>
    <col min="10" max="10" width="20.6640625" style="5" customWidth="1"/>
    <col min="11" max="12" width="14.33203125" style="5" customWidth="1"/>
    <col min="13" max="13" width="10.5" style="5" customWidth="1"/>
    <col min="14" max="14" width="10.6640625" style="2" bestFit="1" customWidth="1"/>
    <col min="15" max="18" width="8.83203125" style="2"/>
    <col min="19" max="19" width="8.83203125" style="5"/>
    <col min="20" max="20" width="8.83203125" style="172"/>
    <col min="21" max="22" width="12.6640625" style="2" customWidth="1"/>
    <col min="23" max="23" width="10.6640625" style="2" bestFit="1" customWidth="1"/>
    <col min="24" max="24" width="9.6640625" style="2" bestFit="1" customWidth="1"/>
    <col min="25" max="25" width="15.6640625" style="2" bestFit="1" customWidth="1"/>
    <col min="26" max="26" width="13.83203125" style="2" customWidth="1"/>
    <col min="27" max="27" width="12.33203125" style="2" customWidth="1"/>
    <col min="28" max="30" width="8.83203125" style="2"/>
    <col min="31" max="31" width="18" style="2" customWidth="1"/>
    <col min="32" max="32" width="13" style="2" customWidth="1"/>
    <col min="33" max="33" width="14.6640625" style="2" customWidth="1"/>
    <col min="34" max="34" width="17.5" style="2" customWidth="1"/>
    <col min="35" max="36" width="14.83203125" style="2" bestFit="1" customWidth="1"/>
    <col min="37" max="16384" width="8.83203125" style="2"/>
  </cols>
  <sheetData>
    <row r="1" spans="1:39" s="43" customFormat="1" ht="52.5" customHeight="1" thickBot="1">
      <c r="A1" s="149" t="s">
        <v>9</v>
      </c>
      <c r="B1" s="149" t="s">
        <v>0</v>
      </c>
      <c r="C1" s="150" t="s">
        <v>8</v>
      </c>
      <c r="D1" s="150"/>
      <c r="E1" s="150" t="s">
        <v>7</v>
      </c>
      <c r="F1" s="151" t="s">
        <v>27</v>
      </c>
      <c r="G1" s="149" t="s">
        <v>17</v>
      </c>
      <c r="H1" s="149" t="s">
        <v>37</v>
      </c>
      <c r="I1" s="149" t="s">
        <v>62</v>
      </c>
      <c r="J1" s="149" t="s">
        <v>24</v>
      </c>
      <c r="K1" s="149" t="s">
        <v>23</v>
      </c>
      <c r="L1" s="149" t="s">
        <v>22</v>
      </c>
      <c r="M1" s="149" t="s">
        <v>20</v>
      </c>
      <c r="N1" s="149" t="s">
        <v>21</v>
      </c>
      <c r="O1" s="149" t="s">
        <v>1</v>
      </c>
      <c r="P1" s="149" t="s">
        <v>2</v>
      </c>
      <c r="Q1" s="149" t="s">
        <v>3</v>
      </c>
      <c r="R1" s="149" t="s">
        <v>4</v>
      </c>
      <c r="S1" s="149" t="s">
        <v>5</v>
      </c>
      <c r="T1" s="149" t="s">
        <v>6</v>
      </c>
      <c r="U1" s="149" t="s">
        <v>13</v>
      </c>
      <c r="V1" s="149" t="s">
        <v>81</v>
      </c>
      <c r="W1" s="149" t="s">
        <v>42</v>
      </c>
      <c r="X1" s="149" t="s">
        <v>26</v>
      </c>
      <c r="Y1" s="149" t="s">
        <v>40</v>
      </c>
      <c r="Z1" s="149" t="s">
        <v>25</v>
      </c>
      <c r="AA1" s="149" t="s">
        <v>28</v>
      </c>
      <c r="AB1" s="149" t="s">
        <v>36</v>
      </c>
      <c r="AC1" s="150" t="s">
        <v>85</v>
      </c>
      <c r="AD1" s="150" t="s">
        <v>169</v>
      </c>
      <c r="AE1" s="150" t="s">
        <v>74</v>
      </c>
      <c r="AF1" s="43" t="s">
        <v>75</v>
      </c>
      <c r="AH1" s="43" t="s">
        <v>76</v>
      </c>
      <c r="AI1" s="43" t="s">
        <v>39</v>
      </c>
      <c r="AJ1" s="43" t="s">
        <v>77</v>
      </c>
      <c r="AK1" s="43" t="s">
        <v>39</v>
      </c>
      <c r="AL1" s="43" t="s">
        <v>170</v>
      </c>
    </row>
    <row r="2" spans="1:39" s="248" customFormat="1">
      <c r="A2" s="244">
        <v>41415</v>
      </c>
      <c r="B2" s="160" t="s">
        <v>10</v>
      </c>
      <c r="C2" s="160" t="s">
        <v>11</v>
      </c>
      <c r="D2" s="160">
        <v>6</v>
      </c>
      <c r="E2" s="244">
        <v>41411</v>
      </c>
      <c r="F2" s="245">
        <v>3.1267225052595702</v>
      </c>
      <c r="G2" s="267">
        <v>99.998775939855506</v>
      </c>
      <c r="H2" s="161">
        <f>F2*G2/100</f>
        <v>3.1266842322955544</v>
      </c>
      <c r="I2" s="268">
        <v>72</v>
      </c>
      <c r="J2" s="160"/>
      <c r="K2" s="268">
        <v>147.021315218632</v>
      </c>
      <c r="L2" s="268">
        <v>187.91852822600799</v>
      </c>
      <c r="M2" s="268">
        <v>248.4171779708</v>
      </c>
      <c r="N2" s="268">
        <v>318.022155939953</v>
      </c>
      <c r="O2" s="160">
        <v>325.98988665930102</v>
      </c>
      <c r="P2" s="160">
        <v>247.45639946956899</v>
      </c>
      <c r="Q2" s="160">
        <v>166.024048467863</v>
      </c>
      <c r="R2" s="160">
        <v>124.07466057670599</v>
      </c>
      <c r="S2" s="160">
        <v>108.004111011953</v>
      </c>
      <c r="T2" s="160">
        <v>71.922962332411203</v>
      </c>
      <c r="U2" s="160">
        <v>80.770394767147295</v>
      </c>
      <c r="V2" s="248">
        <f>AVERAGE(K2:T2)</f>
        <v>194.4851245873196</v>
      </c>
      <c r="W2" s="160">
        <v>0.59208416659788599</v>
      </c>
      <c r="X2" s="160">
        <v>1.7985611510791399</v>
      </c>
      <c r="Y2" s="160">
        <v>0.12673562667909299</v>
      </c>
      <c r="Z2" s="160">
        <v>0.325097529258778</v>
      </c>
      <c r="AA2" s="160">
        <f>T2/MAX(K2:U2)</f>
        <v>0.22062942832204921</v>
      </c>
      <c r="AB2" s="160">
        <f>U2/MAX(K2:U2)</f>
        <v>0.24776963357627765</v>
      </c>
      <c r="AC2" s="81">
        <f>AA2/AJ2</f>
        <v>2.4043296410275573E-2</v>
      </c>
      <c r="AD2" s="81">
        <f>N2/W2</f>
        <v>537.12322315137635</v>
      </c>
      <c r="AE2" s="269">
        <v>112.477471148756</v>
      </c>
      <c r="AF2" s="81">
        <f>(T2*I2)/W2</f>
        <v>8746.1438425029755</v>
      </c>
      <c r="AG2" s="270">
        <f>AE2/I2</f>
        <v>1.5621870992882778</v>
      </c>
      <c r="AH2" s="81">
        <f>Y2/W2</f>
        <v>0.21405001827242834</v>
      </c>
      <c r="AI2" s="81">
        <f>(W2*60/MAX(K2:U2))</f>
        <v>0.10897592670720227</v>
      </c>
      <c r="AJ2" s="81">
        <f>1/AI2</f>
        <v>9.1763385750947641</v>
      </c>
      <c r="AK2" s="81">
        <f>MAX(K2:U2)</f>
        <v>325.98988665930102</v>
      </c>
      <c r="AM2" s="248">
        <f>AE2*I2</f>
        <v>8098.3779227104314</v>
      </c>
    </row>
    <row r="3" spans="1:39" s="11" customFormat="1">
      <c r="A3" s="20">
        <v>41430</v>
      </c>
      <c r="B3" s="10" t="s">
        <v>10</v>
      </c>
      <c r="C3" s="10" t="s">
        <v>11</v>
      </c>
      <c r="D3" s="10">
        <v>6</v>
      </c>
      <c r="E3" s="20">
        <v>41426</v>
      </c>
      <c r="F3" s="32">
        <v>10.321522204448</v>
      </c>
      <c r="G3" s="158">
        <v>4.43068481350367</v>
      </c>
      <c r="H3" s="33">
        <f t="shared" ref="H3:H12" si="0">F3*G3/100</f>
        <v>0.45731411683488671</v>
      </c>
      <c r="I3" s="11">
        <v>76</v>
      </c>
      <c r="J3" s="11" t="s">
        <v>18</v>
      </c>
      <c r="K3" s="11">
        <v>601.55774840251695</v>
      </c>
      <c r="L3" s="11">
        <v>798.56343592995495</v>
      </c>
      <c r="M3" s="11">
        <v>1043.43945173406</v>
      </c>
      <c r="N3" s="10">
        <v>1191.74292961319</v>
      </c>
      <c r="O3" s="11">
        <v>978.99809765377302</v>
      </c>
      <c r="P3" s="11">
        <v>447.22483781278999</v>
      </c>
      <c r="Q3" s="11">
        <v>219.40651129170899</v>
      </c>
      <c r="R3" s="11">
        <v>120.22547996870399</v>
      </c>
      <c r="S3" s="11">
        <v>65.942310941610998</v>
      </c>
      <c r="T3" s="11">
        <v>42.583859981078497</v>
      </c>
      <c r="U3" s="11">
        <v>29.492561915358301</v>
      </c>
      <c r="V3" s="11">
        <f t="shared" ref="V3:V12" si="1">AVERAGE(K3:T3)</f>
        <v>550.96846633293876</v>
      </c>
      <c r="W3" s="11">
        <v>5.55597831834665</v>
      </c>
      <c r="X3" s="11">
        <v>4.4247787610619502</v>
      </c>
      <c r="Y3" s="11">
        <v>0.36722387316136601</v>
      </c>
      <c r="Z3" s="11">
        <v>0.29308323563892102</v>
      </c>
      <c r="AA3" s="1">
        <f t="shared" ref="AA3:AA12" si="2">T3/MAX(K3:U3)</f>
        <v>3.5732420913040498E-2</v>
      </c>
      <c r="AB3" s="1">
        <f>U3/MAX(K3:U3)</f>
        <v>2.4747419248319646E-2</v>
      </c>
      <c r="AC3" s="10">
        <f t="shared" ref="AC3:AC12" si="3">AA3/AJ3</f>
        <v>9.9952037098802946E-3</v>
      </c>
      <c r="AD3" s="10">
        <f t="shared" ref="AD3:AD12" si="4">N3/W3</f>
        <v>214.49740465650868</v>
      </c>
      <c r="AE3" s="58">
        <v>7.1647108034074503</v>
      </c>
      <c r="AG3" s="82">
        <f t="shared" ref="AG3:AG12" si="5">AE3/I3</f>
        <v>9.4272510571150658E-2</v>
      </c>
      <c r="AH3" s="10">
        <f t="shared" ref="AH3:AH12" si="6">Y3/W3</f>
        <v>6.6095267497488119E-2</v>
      </c>
      <c r="AI3" s="10">
        <f t="shared" ref="AI3:AI12" si="7">(W3*60/MAX(K3:U3))</f>
        <v>0.27972366423772194</v>
      </c>
      <c r="AJ3" s="10">
        <f t="shared" ref="AJ3:AJ12" si="8">1/AI3</f>
        <v>3.574956744275144</v>
      </c>
      <c r="AK3" s="10">
        <f t="shared" ref="AK3:AK12" si="9">MAX(K3:U3)</f>
        <v>1191.74292961319</v>
      </c>
      <c r="AM3" s="248">
        <f t="shared" ref="AM3:AM15" si="10">AE3*I3</f>
        <v>544.51802105896627</v>
      </c>
    </row>
    <row r="4" spans="1:39" s="11" customFormat="1">
      <c r="A4" s="175">
        <v>41398</v>
      </c>
      <c r="B4" s="13" t="s">
        <v>15</v>
      </c>
      <c r="C4" s="1" t="s">
        <v>11</v>
      </c>
      <c r="D4" s="1">
        <v>6</v>
      </c>
      <c r="E4" s="30">
        <v>41390</v>
      </c>
      <c r="F4" s="31">
        <v>10.394768354996099</v>
      </c>
      <c r="G4" s="241">
        <v>3.78</v>
      </c>
      <c r="H4" s="33">
        <f t="shared" si="0"/>
        <v>0.39292224381885255</v>
      </c>
      <c r="I4" s="13">
        <v>54</v>
      </c>
      <c r="J4" s="1">
        <v>0</v>
      </c>
      <c r="K4" s="13">
        <v>136.16970255221401</v>
      </c>
      <c r="L4" s="13">
        <v>289.35210902011698</v>
      </c>
      <c r="M4" s="13">
        <v>389.76683739268202</v>
      </c>
      <c r="N4" s="13">
        <v>537.01752410290703</v>
      </c>
      <c r="O4" s="13">
        <v>601.36578782126696</v>
      </c>
      <c r="P4" s="13">
        <v>444.42719187893999</v>
      </c>
      <c r="Q4" s="13">
        <v>291.39319660568799</v>
      </c>
      <c r="R4" s="13">
        <v>189.62695225693801</v>
      </c>
      <c r="S4" s="13">
        <v>119.395040729546</v>
      </c>
      <c r="T4" s="13">
        <v>110.95954372623601</v>
      </c>
      <c r="U4" s="13">
        <v>85.112428424058507</v>
      </c>
      <c r="V4" s="11">
        <f>AVERAGE(K4:T4)</f>
        <v>310.94738860865357</v>
      </c>
      <c r="W4" s="1">
        <v>1.1863803460125499</v>
      </c>
      <c r="X4" s="1">
        <v>1.8518518518518501</v>
      </c>
      <c r="Y4" s="1">
        <v>0.19756079546079899</v>
      </c>
      <c r="Z4" s="1">
        <v>0.32786885245901598</v>
      </c>
      <c r="AA4" s="1">
        <f t="shared" si="2"/>
        <v>0.18451256452123693</v>
      </c>
      <c r="AB4" s="1">
        <f>U4/MAX(K4:U4)</f>
        <v>0.14153187651798199</v>
      </c>
      <c r="AC4" s="10">
        <f t="shared" si="3"/>
        <v>2.1840492216902936E-2</v>
      </c>
      <c r="AD4" s="10">
        <f t="shared" si="4"/>
        <v>452.65207393888022</v>
      </c>
      <c r="AE4" s="58">
        <v>97.800312664386297</v>
      </c>
      <c r="AF4" s="10">
        <f>(T4*I4)/W4</f>
        <v>5050.5012000201841</v>
      </c>
      <c r="AG4" s="82">
        <f t="shared" si="5"/>
        <v>1.8111169011923389</v>
      </c>
      <c r="AH4" s="10">
        <f t="shared" si="6"/>
        <v>0.16652399555067235</v>
      </c>
      <c r="AI4" s="10">
        <f t="shared" si="7"/>
        <v>0.11836859063540439</v>
      </c>
      <c r="AJ4" s="10">
        <f t="shared" si="8"/>
        <v>8.4481870961881427</v>
      </c>
      <c r="AK4" s="10">
        <f>MAX(K4:U4)</f>
        <v>601.36578782126696</v>
      </c>
      <c r="AM4" s="248">
        <f t="shared" si="10"/>
        <v>5281.2168838768603</v>
      </c>
    </row>
    <row r="5" spans="1:39" s="11" customFormat="1">
      <c r="A5" s="14">
        <v>41452</v>
      </c>
      <c r="B5" s="11" t="s">
        <v>15</v>
      </c>
      <c r="C5" s="11" t="s">
        <v>11</v>
      </c>
      <c r="D5" s="11">
        <v>6</v>
      </c>
      <c r="E5" s="14">
        <v>41445</v>
      </c>
      <c r="F5" s="35">
        <v>5.17499281762196</v>
      </c>
      <c r="G5" s="11">
        <v>31.099562851424</v>
      </c>
      <c r="H5" s="33">
        <f t="shared" si="0"/>
        <v>1.6094001438730192</v>
      </c>
      <c r="I5" s="11">
        <v>64</v>
      </c>
      <c r="K5" s="11">
        <v>1957.2034802784201</v>
      </c>
      <c r="L5" s="11">
        <v>2136.9623279195698</v>
      </c>
      <c r="M5" s="11">
        <v>2341.2379350348001</v>
      </c>
      <c r="N5" s="11">
        <v>2259.5489249806701</v>
      </c>
      <c r="O5" s="11">
        <v>1896.38255220418</v>
      </c>
      <c r="P5" s="11">
        <v>1252.1345630317101</v>
      </c>
      <c r="Q5" s="11">
        <v>875.04362016427206</v>
      </c>
      <c r="R5" s="11">
        <v>613.62383730828196</v>
      </c>
      <c r="S5" s="11">
        <v>456.560861932357</v>
      </c>
      <c r="T5" s="11">
        <v>306.11198926933503</v>
      </c>
      <c r="U5" s="11">
        <v>238.60549141592401</v>
      </c>
      <c r="V5" s="11">
        <f>AVERAGE(K5:T5)</f>
        <v>1409.4810092123596</v>
      </c>
      <c r="W5" s="11">
        <v>14.0711431057341</v>
      </c>
      <c r="X5" s="11">
        <v>5.9523809523809499</v>
      </c>
      <c r="Y5" s="11">
        <v>0.58856977914293496</v>
      </c>
      <c r="Z5" s="11">
        <v>0.28409090909090901</v>
      </c>
      <c r="AA5" s="1">
        <f t="shared" si="2"/>
        <v>0.1307479195892941</v>
      </c>
      <c r="AB5" s="1">
        <f>U5/MAX(K5:U5)</f>
        <v>0.10191424282230306</v>
      </c>
      <c r="AC5" s="10">
        <f t="shared" si="3"/>
        <v>4.7148715466818855E-2</v>
      </c>
      <c r="AD5" s="10">
        <f t="shared" si="4"/>
        <v>160.58033864070975</v>
      </c>
      <c r="AE5" s="11">
        <v>21.443220328276698</v>
      </c>
      <c r="AF5" s="10">
        <f>(T5*I5)/W5</f>
        <v>1392.2939427184056</v>
      </c>
      <c r="AG5" s="82">
        <f t="shared" si="5"/>
        <v>0.33505031762932341</v>
      </c>
      <c r="AH5" s="10">
        <f t="shared" si="6"/>
        <v>4.1828142512678176E-2</v>
      </c>
      <c r="AI5" s="10">
        <f t="shared" si="7"/>
        <v>0.36060776810004008</v>
      </c>
      <c r="AJ5" s="10">
        <f t="shared" si="8"/>
        <v>2.7730961129006495</v>
      </c>
      <c r="AK5" s="10">
        <f>MAX(K5:U5)</f>
        <v>2341.2379350348001</v>
      </c>
      <c r="AL5" s="11">
        <f>AVERAGE(AA11:AA17)</f>
        <v>0.13254465942124444</v>
      </c>
      <c r="AM5" s="248">
        <f t="shared" si="10"/>
        <v>1372.3661010097087</v>
      </c>
    </row>
    <row r="6" spans="1:39" s="11" customFormat="1">
      <c r="A6" s="175">
        <v>41395</v>
      </c>
      <c r="B6" s="13" t="s">
        <v>10</v>
      </c>
      <c r="C6" s="1" t="s">
        <v>11</v>
      </c>
      <c r="D6" s="1">
        <v>6</v>
      </c>
      <c r="E6" s="30">
        <v>41390</v>
      </c>
      <c r="F6" s="31">
        <v>5.1610367935700703</v>
      </c>
      <c r="G6" s="18">
        <v>47.999433395144401</v>
      </c>
      <c r="H6" s="33">
        <f t="shared" si="0"/>
        <v>2.477268418228562</v>
      </c>
      <c r="I6" s="13">
        <v>105</v>
      </c>
      <c r="J6" s="1"/>
      <c r="K6" s="13">
        <v>652.75414238116196</v>
      </c>
      <c r="L6" s="13">
        <v>819.824297387088</v>
      </c>
      <c r="M6" s="13">
        <v>918.61682108740899</v>
      </c>
      <c r="N6" s="13">
        <v>865.54558514554606</v>
      </c>
      <c r="O6" s="13">
        <v>655.04437040895095</v>
      </c>
      <c r="P6" s="13">
        <v>367.64971284254398</v>
      </c>
      <c r="Q6" s="13">
        <v>205.11483805946199</v>
      </c>
      <c r="R6" s="13">
        <v>124.939474412739</v>
      </c>
      <c r="S6" s="13">
        <v>87.287396675268894</v>
      </c>
      <c r="T6" s="13">
        <v>69.406940502516093</v>
      </c>
      <c r="U6" s="13">
        <v>60.039042142151096</v>
      </c>
      <c r="V6" s="11">
        <f>AVERAGE(K6:T6)</f>
        <v>476.61835789026861</v>
      </c>
      <c r="W6" s="1">
        <v>7.4418789253239401</v>
      </c>
      <c r="X6" s="11">
        <v>5</v>
      </c>
      <c r="Y6" s="1">
        <v>0.26017861140132098</v>
      </c>
      <c r="Z6" s="1">
        <v>0.28296547821165802</v>
      </c>
      <c r="AA6" s="1">
        <f t="shared" si="2"/>
        <v>7.5555921586931002E-2</v>
      </c>
      <c r="AB6" s="1">
        <f>U6/MAX(K6:U6)</f>
        <v>6.5358091386874581E-2</v>
      </c>
      <c r="AC6" s="10">
        <f t="shared" si="3"/>
        <v>3.6725520867925042E-2</v>
      </c>
      <c r="AD6" s="10">
        <f t="shared" si="4"/>
        <v>116.3073994929136</v>
      </c>
      <c r="AE6" s="58">
        <v>9.1882873450354907</v>
      </c>
      <c r="AF6" s="10">
        <f>(T6*I6)/W6</f>
        <v>979.28612194493076</v>
      </c>
      <c r="AG6" s="82">
        <f t="shared" si="5"/>
        <v>8.7507498524147534E-2</v>
      </c>
      <c r="AH6" s="10">
        <f t="shared" si="6"/>
        <v>3.496141418210396E-2</v>
      </c>
      <c r="AI6" s="10">
        <f t="shared" si="7"/>
        <v>0.48607071552519449</v>
      </c>
      <c r="AJ6" s="10">
        <f t="shared" si="8"/>
        <v>2.0573138188740914</v>
      </c>
      <c r="AK6" s="10">
        <f>MAX(K6:U6)</f>
        <v>918.61682108740899</v>
      </c>
      <c r="AM6" s="248">
        <f t="shared" si="10"/>
        <v>964.77017122872655</v>
      </c>
    </row>
    <row r="7" spans="1:39" s="11" customFormat="1">
      <c r="A7" s="55">
        <v>41599</v>
      </c>
      <c r="B7" s="54" t="s">
        <v>15</v>
      </c>
      <c r="C7" s="54" t="s">
        <v>70</v>
      </c>
      <c r="D7" s="31">
        <v>6</v>
      </c>
      <c r="E7" s="14">
        <v>41595</v>
      </c>
      <c r="F7" s="54">
        <v>5.7218315442144201</v>
      </c>
      <c r="G7" s="54">
        <v>33.456858089655199</v>
      </c>
      <c r="H7" s="33">
        <f t="shared" si="0"/>
        <v>1.9143450598769454</v>
      </c>
      <c r="I7" s="11">
        <v>76</v>
      </c>
      <c r="K7" s="11">
        <v>254.06324467148099</v>
      </c>
      <c r="L7" s="11">
        <v>328.070828398635</v>
      </c>
      <c r="M7" s="11">
        <v>432.68758313614001</v>
      </c>
      <c r="N7" s="11">
        <v>492.48403491945697</v>
      </c>
      <c r="O7" s="11">
        <v>417.54228340171699</v>
      </c>
      <c r="P7" s="11">
        <v>201.256987004423</v>
      </c>
      <c r="Q7" s="11">
        <v>103.362784220252</v>
      </c>
      <c r="R7" s="11">
        <v>75.005582974980499</v>
      </c>
      <c r="S7" s="11">
        <v>58.718144235186003</v>
      </c>
      <c r="T7" s="11">
        <v>53.594990322213398</v>
      </c>
      <c r="U7" s="11">
        <v>48.223919915700698</v>
      </c>
      <c r="W7" s="11">
        <v>1.6149304873052901</v>
      </c>
      <c r="Y7" s="10">
        <v>0.163890638809956</v>
      </c>
      <c r="Z7" s="1">
        <f>T7/MAX(K7:U7)</f>
        <v>0.10882584311789632</v>
      </c>
      <c r="AA7" s="1">
        <f t="shared" si="2"/>
        <v>0.10882584311789632</v>
      </c>
      <c r="AC7" s="10">
        <f t="shared" si="3"/>
        <v>2.1411395220541796E-2</v>
      </c>
      <c r="AD7" s="10">
        <f t="shared" si="4"/>
        <v>304.9568007978022</v>
      </c>
      <c r="AE7" s="1">
        <v>30.875490968013199</v>
      </c>
      <c r="AF7" s="206"/>
      <c r="AG7" s="82">
        <f t="shared" si="5"/>
        <v>0.40625646010543681</v>
      </c>
      <c r="AH7" s="10">
        <f t="shared" si="6"/>
        <v>0.10148463980231599</v>
      </c>
      <c r="AI7" s="10">
        <f t="shared" si="7"/>
        <v>0.19674917838537481</v>
      </c>
      <c r="AJ7" s="10">
        <f t="shared" si="8"/>
        <v>5.0826133466300369</v>
      </c>
      <c r="AM7" s="248">
        <f t="shared" si="10"/>
        <v>2346.5373135690033</v>
      </c>
    </row>
    <row r="8" spans="1:39" s="11" customFormat="1">
      <c r="A8" s="55">
        <v>41599</v>
      </c>
      <c r="B8" s="54" t="s">
        <v>10</v>
      </c>
      <c r="C8" s="54" t="s">
        <v>70</v>
      </c>
      <c r="D8" s="31">
        <v>6</v>
      </c>
      <c r="E8" s="14">
        <v>41595</v>
      </c>
      <c r="F8" s="11">
        <v>7.6640242883995802</v>
      </c>
      <c r="G8" s="54">
        <v>33.4134032047793</v>
      </c>
      <c r="H8" s="33">
        <f t="shared" si="0"/>
        <v>2.5608113371951693</v>
      </c>
      <c r="I8" s="11">
        <v>60</v>
      </c>
      <c r="K8" s="11">
        <v>322.77281717572799</v>
      </c>
      <c r="L8" s="11">
        <v>435.91866302823797</v>
      </c>
      <c r="M8" s="11">
        <v>318.60234814451297</v>
      </c>
      <c r="N8" s="11">
        <v>519.22350954689</v>
      </c>
      <c r="O8" s="11">
        <v>427.27047036029001</v>
      </c>
      <c r="P8" s="11">
        <v>213.78637967591101</v>
      </c>
      <c r="Q8" s="11">
        <v>122.31676661111</v>
      </c>
      <c r="R8" s="11">
        <v>93.029120996116504</v>
      </c>
      <c r="S8" s="11">
        <v>77.617221933754394</v>
      </c>
      <c r="T8" s="11">
        <v>66.888475400709098</v>
      </c>
      <c r="U8" s="11">
        <v>61.549116178653399</v>
      </c>
      <c r="W8" s="11">
        <v>2.2073858121706902</v>
      </c>
      <c r="Y8" s="11">
        <v>0.16225031595131201</v>
      </c>
      <c r="Z8" s="1">
        <f>T8/MAX(K8:U8)</f>
        <v>0.12882405008794875</v>
      </c>
      <c r="AA8" s="1">
        <f t="shared" si="2"/>
        <v>0.12882405008794875</v>
      </c>
      <c r="AC8" s="10">
        <f t="shared" si="3"/>
        <v>3.2860343401475818E-2</v>
      </c>
      <c r="AD8" s="10">
        <f t="shared" si="4"/>
        <v>235.2210051745771</v>
      </c>
      <c r="AE8" s="11">
        <v>28.922762935912399</v>
      </c>
      <c r="AF8" s="206"/>
      <c r="AG8" s="82">
        <f t="shared" si="5"/>
        <v>0.48204604893187331</v>
      </c>
      <c r="AH8" s="10">
        <f t="shared" si="6"/>
        <v>7.3503379000048455E-2</v>
      </c>
      <c r="AI8" s="10">
        <f t="shared" si="7"/>
        <v>0.25507926027043798</v>
      </c>
      <c r="AJ8" s="10">
        <f t="shared" si="8"/>
        <v>3.9203500862429523</v>
      </c>
      <c r="AM8" s="248">
        <f t="shared" si="10"/>
        <v>1735.365776154744</v>
      </c>
    </row>
    <row r="9" spans="1:39" s="248" customFormat="1">
      <c r="A9" s="244">
        <v>41414</v>
      </c>
      <c r="B9" s="160" t="s">
        <v>10</v>
      </c>
      <c r="C9" s="160" t="s">
        <v>12</v>
      </c>
      <c r="D9" s="160">
        <v>10</v>
      </c>
      <c r="E9" s="244">
        <v>41411</v>
      </c>
      <c r="F9" s="245">
        <v>5.0444592598674998</v>
      </c>
      <c r="G9" s="161">
        <v>15.878050789414999</v>
      </c>
      <c r="H9" s="161">
        <f t="shared" si="0"/>
        <v>0.80096180333310951</v>
      </c>
      <c r="I9" s="268">
        <v>43</v>
      </c>
      <c r="J9" s="160"/>
      <c r="K9" s="268">
        <v>134.57841014188699</v>
      </c>
      <c r="L9" s="268">
        <v>135.955705998285</v>
      </c>
      <c r="M9" s="268">
        <v>232.69027918864899</v>
      </c>
      <c r="N9" s="268">
        <v>917.54753913745697</v>
      </c>
      <c r="O9" s="160">
        <v>1294.6337637898</v>
      </c>
      <c r="P9" s="160">
        <v>1414.2916286961099</v>
      </c>
      <c r="Q9" s="160">
        <v>1288.2747808821</v>
      </c>
      <c r="R9" s="160">
        <v>1074.24178168967</v>
      </c>
      <c r="S9" s="160">
        <v>380.78891780996599</v>
      </c>
      <c r="T9" s="160">
        <v>472.28970260223099</v>
      </c>
      <c r="U9" s="160">
        <v>243.17211433315001</v>
      </c>
      <c r="V9" s="248">
        <f>AVERAGE(K9:T9)</f>
        <v>734.52925099361551</v>
      </c>
      <c r="W9" s="160">
        <v>1.34272758324597</v>
      </c>
      <c r="X9" s="160">
        <v>0.934579439252336</v>
      </c>
      <c r="Y9" s="160">
        <v>0.38072249850752499</v>
      </c>
      <c r="Z9" s="160">
        <v>0.394011032308905</v>
      </c>
      <c r="AA9" s="160">
        <f t="shared" si="2"/>
        <v>0.33394081745195164</v>
      </c>
      <c r="AB9" s="160">
        <f>U9/MAX(K9:U9)</f>
        <v>0.17193915978795674</v>
      </c>
      <c r="AC9" s="81">
        <f t="shared" si="3"/>
        <v>1.9022592130217106E-2</v>
      </c>
      <c r="AD9" s="81">
        <f t="shared" si="4"/>
        <v>683.34601194334323</v>
      </c>
      <c r="AE9" s="271">
        <v>350.53682603831197</v>
      </c>
      <c r="AF9" s="81">
        <f>(T9*I9)/W9/100</f>
        <v>151.24778447465388</v>
      </c>
      <c r="AG9" s="270">
        <f t="shared" si="5"/>
        <v>8.152019210193302</v>
      </c>
      <c r="AH9" s="81">
        <f t="shared" si="6"/>
        <v>0.28354411070274532</v>
      </c>
      <c r="AI9" s="81">
        <f t="shared" si="7"/>
        <v>5.6963962283389132E-2</v>
      </c>
      <c r="AJ9" s="81">
        <f t="shared" si="8"/>
        <v>17.554958607428247</v>
      </c>
      <c r="AK9" s="81">
        <f>MAX(K9:U9)</f>
        <v>1414.2916286961099</v>
      </c>
      <c r="AM9" s="248">
        <f t="shared" si="10"/>
        <v>15073.083519647415</v>
      </c>
    </row>
    <row r="10" spans="1:39" s="11" customFormat="1">
      <c r="A10" s="14">
        <v>41431</v>
      </c>
      <c r="B10" s="1" t="s">
        <v>10</v>
      </c>
      <c r="C10" s="1" t="s">
        <v>12</v>
      </c>
      <c r="D10" s="1">
        <v>10</v>
      </c>
      <c r="E10" s="20">
        <v>41426</v>
      </c>
      <c r="F10" s="32">
        <v>6.3884569792520596</v>
      </c>
      <c r="G10" s="22">
        <v>22.7743472133083</v>
      </c>
      <c r="H10" s="33">
        <f t="shared" si="0"/>
        <v>1.454929374027691</v>
      </c>
      <c r="I10" s="11">
        <v>82</v>
      </c>
      <c r="K10" s="11">
        <v>289.30051373438999</v>
      </c>
      <c r="L10" s="11">
        <v>911.60480922927195</v>
      </c>
      <c r="M10" s="11">
        <v>1790.58704565988</v>
      </c>
      <c r="N10" s="11">
        <v>2023.1377719090999</v>
      </c>
      <c r="O10" s="11">
        <v>1658.4673709083299</v>
      </c>
      <c r="P10" s="11">
        <v>911.62772951560203</v>
      </c>
      <c r="Q10" s="11">
        <v>497.57022323538399</v>
      </c>
      <c r="R10" s="11">
        <v>292.23200624294498</v>
      </c>
      <c r="S10" s="11">
        <v>175.50892149944599</v>
      </c>
      <c r="T10" s="11">
        <v>131.13534492015501</v>
      </c>
      <c r="U10" s="11">
        <v>99.217421749177205</v>
      </c>
      <c r="V10" s="11">
        <f>AVERAGE(K10:T10)</f>
        <v>868.11717368545033</v>
      </c>
      <c r="W10" s="11">
        <v>8.1591138786572905</v>
      </c>
      <c r="X10" s="11">
        <v>4</v>
      </c>
      <c r="Y10" s="11">
        <v>0.57660977876507602</v>
      </c>
      <c r="Z10" s="11">
        <v>0.299580587177951</v>
      </c>
      <c r="AA10" s="1">
        <f t="shared" si="2"/>
        <v>6.4817802692898829E-2</v>
      </c>
      <c r="AB10" s="1">
        <f>U10/MAX(K10:U10)</f>
        <v>4.9041357008303171E-2</v>
      </c>
      <c r="AC10" s="10">
        <f t="shared" si="3"/>
        <v>1.568422598437243E-2</v>
      </c>
      <c r="AD10" s="10">
        <f t="shared" si="4"/>
        <v>247.96047732600576</v>
      </c>
      <c r="AE10" s="58">
        <v>15.8521484283996</v>
      </c>
      <c r="AF10" s="10">
        <f>(T10*I10)/W10/100</f>
        <v>13.179247701862328</v>
      </c>
      <c r="AG10" s="82">
        <f t="shared" si="5"/>
        <v>0.19331888327316585</v>
      </c>
      <c r="AH10" s="10">
        <f t="shared" si="6"/>
        <v>7.0670637441815704E-2</v>
      </c>
      <c r="AI10" s="10">
        <f t="shared" si="7"/>
        <v>0.24197404621509527</v>
      </c>
      <c r="AJ10" s="10">
        <f t="shared" si="8"/>
        <v>4.1326746221000956</v>
      </c>
      <c r="AK10" s="10">
        <f>MAX(K10:U10)</f>
        <v>2023.1377719090999</v>
      </c>
      <c r="AM10" s="248">
        <f t="shared" si="10"/>
        <v>1299.8761711287673</v>
      </c>
    </row>
    <row r="11" spans="1:39" s="11" customFormat="1">
      <c r="A11" s="175">
        <v>41396</v>
      </c>
      <c r="B11" s="13" t="s">
        <v>15</v>
      </c>
      <c r="C11" s="1" t="s">
        <v>12</v>
      </c>
      <c r="D11" s="1">
        <v>10</v>
      </c>
      <c r="E11" s="30">
        <v>41390</v>
      </c>
      <c r="F11" s="31">
        <v>6.4210203690949896</v>
      </c>
      <c r="G11" s="241">
        <v>93.896317621734894</v>
      </c>
      <c r="H11" s="33">
        <f t="shared" si="0"/>
        <v>6.0291016803217259</v>
      </c>
      <c r="I11" s="13">
        <v>59</v>
      </c>
      <c r="J11" s="1">
        <v>0</v>
      </c>
      <c r="K11" s="13">
        <v>384.041560143168</v>
      </c>
      <c r="L11" s="13">
        <v>487.02632912194002</v>
      </c>
      <c r="M11" s="13">
        <v>640.42289903407504</v>
      </c>
      <c r="N11" s="13">
        <v>820.52697486112402</v>
      </c>
      <c r="O11" s="13">
        <v>914.30410163908698</v>
      </c>
      <c r="P11" s="13">
        <v>799.36615689294797</v>
      </c>
      <c r="Q11" s="13">
        <v>657.05173773180297</v>
      </c>
      <c r="R11" s="13">
        <v>472.900708657672</v>
      </c>
      <c r="S11" s="13">
        <v>362.154592300697</v>
      </c>
      <c r="T11" s="13">
        <v>256.98580282969903</v>
      </c>
      <c r="U11" s="13">
        <v>155.32438343498299</v>
      </c>
      <c r="V11" s="11">
        <f>AVERAGE(K11:T11)</f>
        <v>579.47808632122144</v>
      </c>
      <c r="W11" s="1">
        <v>1.5610548806045199</v>
      </c>
      <c r="X11" s="1">
        <v>1.7006802721088401</v>
      </c>
      <c r="Y11" s="1">
        <v>0.21956794047548001</v>
      </c>
      <c r="Z11" s="1">
        <v>0.32488628979857098</v>
      </c>
      <c r="AA11" s="1">
        <f t="shared" si="2"/>
        <v>0.28107256914739487</v>
      </c>
      <c r="AB11" s="1">
        <f>U11/MAX(K11:U11)</f>
        <v>0.16988262784398603</v>
      </c>
      <c r="AC11" s="10">
        <f t="shared" si="3"/>
        <v>2.8793682873236793E-2</v>
      </c>
      <c r="AD11" s="10">
        <f t="shared" si="4"/>
        <v>525.6234005965083</v>
      </c>
      <c r="AE11" s="58">
        <v>164.65522140924301</v>
      </c>
      <c r="AF11" s="10">
        <f>(T11*I11)/W11/100</f>
        <v>97.127670239759169</v>
      </c>
      <c r="AG11" s="82">
        <f t="shared" si="5"/>
        <v>2.7907664645634407</v>
      </c>
      <c r="AH11" s="10">
        <f t="shared" si="6"/>
        <v>0.14065356907276194</v>
      </c>
      <c r="AI11" s="10">
        <f t="shared" si="7"/>
        <v>0.10244216630808019</v>
      </c>
      <c r="AJ11" s="10">
        <f t="shared" si="8"/>
        <v>9.7616053627042874</v>
      </c>
      <c r="AK11" s="10">
        <f>MAX(K11:U11)</f>
        <v>914.30410163908698</v>
      </c>
      <c r="AM11" s="248">
        <f t="shared" si="10"/>
        <v>9714.658063145338</v>
      </c>
    </row>
    <row r="12" spans="1:39" s="11" customFormat="1">
      <c r="A12" s="14">
        <v>41453</v>
      </c>
      <c r="B12" s="11" t="s">
        <v>15</v>
      </c>
      <c r="C12" s="11" t="s">
        <v>12</v>
      </c>
      <c r="D12" s="11">
        <v>10</v>
      </c>
      <c r="E12" s="14">
        <v>41445</v>
      </c>
      <c r="F12" s="35">
        <v>3.5696684967159502</v>
      </c>
      <c r="G12" s="11">
        <v>31.403516692397101</v>
      </c>
      <c r="H12" s="33">
        <f t="shared" si="0"/>
        <v>1.1210014422294341</v>
      </c>
      <c r="I12" s="11">
        <v>52</v>
      </c>
      <c r="K12" s="11">
        <v>1192.86587611453</v>
      </c>
      <c r="L12" s="11">
        <v>1617.1768427756599</v>
      </c>
      <c r="M12" s="11">
        <v>1979.49175527496</v>
      </c>
      <c r="N12" s="11">
        <v>2354.7221368444398</v>
      </c>
      <c r="O12" s="11">
        <v>2281.0556847759899</v>
      </c>
      <c r="P12" s="11">
        <v>1698.0796159384199</v>
      </c>
      <c r="Q12" s="11">
        <v>1216.2832627236</v>
      </c>
      <c r="R12" s="11">
        <v>862.96819770862896</v>
      </c>
      <c r="S12" s="11">
        <v>624.68991636202497</v>
      </c>
      <c r="T12" s="11">
        <v>434.78100130327499</v>
      </c>
      <c r="U12" s="11">
        <v>97.319805477475697</v>
      </c>
      <c r="V12" s="11">
        <f t="shared" si="1"/>
        <v>1426.2114289821532</v>
      </c>
      <c r="W12" s="11">
        <v>6.0420585583922701</v>
      </c>
      <c r="X12" s="11">
        <v>2.52525252525253</v>
      </c>
      <c r="Y12" s="11">
        <v>0.62217152478256699</v>
      </c>
      <c r="Z12" s="11">
        <v>0.31766200762388802</v>
      </c>
      <c r="AA12" s="1">
        <f t="shared" si="2"/>
        <v>0.18464216839016279</v>
      </c>
      <c r="AB12" s="1">
        <f t="shared" ref="AB12" si="11">U12/MAX(K12:U12)</f>
        <v>4.1329634590301957E-2</v>
      </c>
      <c r="AC12" s="10">
        <f t="shared" si="3"/>
        <v>2.8426762792240004E-2</v>
      </c>
      <c r="AD12" s="10">
        <f t="shared" si="4"/>
        <v>389.72183306197667</v>
      </c>
      <c r="AE12" s="58">
        <v>71.424604505321895</v>
      </c>
      <c r="AF12" s="10">
        <f t="shared" ref="AF12" si="12">(T12*I12)/W12/100</f>
        <v>37.418723849287254</v>
      </c>
      <c r="AG12" s="82">
        <f t="shared" si="5"/>
        <v>1.3735500866408057</v>
      </c>
      <c r="AH12" s="10">
        <f t="shared" si="6"/>
        <v>0.10297343509165202</v>
      </c>
      <c r="AI12" s="10">
        <f t="shared" si="7"/>
        <v>0.15395596271471484</v>
      </c>
      <c r="AJ12" s="10">
        <f t="shared" si="8"/>
        <v>6.4953638843662773</v>
      </c>
      <c r="AK12" s="10">
        <f t="shared" si="9"/>
        <v>2354.7221368444398</v>
      </c>
      <c r="AM12" s="248">
        <f t="shared" si="10"/>
        <v>3714.0794342767385</v>
      </c>
    </row>
    <row r="13" spans="1:39" s="11" customFormat="1">
      <c r="A13" s="175">
        <v>41393</v>
      </c>
      <c r="B13" s="13" t="s">
        <v>10</v>
      </c>
      <c r="C13" s="1" t="s">
        <v>12</v>
      </c>
      <c r="D13" s="1">
        <v>10</v>
      </c>
      <c r="E13" s="30">
        <v>41390</v>
      </c>
      <c r="F13" s="31">
        <v>5.9014600956289103</v>
      </c>
      <c r="G13" s="18">
        <v>53.796523204329603</v>
      </c>
      <c r="H13" s="33">
        <f>F13*G13/100</f>
        <v>3.1747803497392586</v>
      </c>
      <c r="I13" s="13">
        <v>90</v>
      </c>
      <c r="J13" s="1"/>
      <c r="K13" s="13">
        <v>1484.0801867699799</v>
      </c>
      <c r="L13" s="13">
        <v>1609.96245807795</v>
      </c>
      <c r="M13" s="13">
        <v>1671.35107551752</v>
      </c>
      <c r="N13" s="13">
        <v>1570.65230715855</v>
      </c>
      <c r="O13" s="13">
        <v>1167.3040939053999</v>
      </c>
      <c r="P13" s="13">
        <v>653.95160171157602</v>
      </c>
      <c r="Q13" s="13">
        <v>409.55627195582099</v>
      </c>
      <c r="R13" s="13">
        <v>271.86838752642097</v>
      </c>
      <c r="S13" s="13">
        <v>168.39273276922401</v>
      </c>
      <c r="T13" s="13">
        <v>131.30968284366401</v>
      </c>
      <c r="U13" s="13">
        <v>98.325551072189995</v>
      </c>
      <c r="V13" s="11">
        <f>AVERAGE(K13:T13)</f>
        <v>913.84287982361059</v>
      </c>
      <c r="W13" s="1">
        <v>16.128312620651101</v>
      </c>
      <c r="X13" s="1">
        <v>9.6153846153846203</v>
      </c>
      <c r="Y13" s="1">
        <v>0.44285602294610898</v>
      </c>
      <c r="Z13" s="1">
        <v>0.28425241614553698</v>
      </c>
      <c r="AA13" s="1">
        <f>T13/MAX(K13:U13)</f>
        <v>7.8564991381601293E-2</v>
      </c>
      <c r="AB13" s="1">
        <f>U13/MAX(K13:U13)</f>
        <v>5.8829980434687727E-2</v>
      </c>
      <c r="AC13" s="10">
        <f>AA13/AJ13</f>
        <v>4.5488494689203636E-2</v>
      </c>
      <c r="AD13" s="10">
        <f>N13/W13</f>
        <v>97.384788111525495</v>
      </c>
      <c r="AE13" s="58">
        <v>8.3320509376699494</v>
      </c>
      <c r="AF13" s="10">
        <f>(T13*I13)/W13/100</f>
        <v>7.3274072334125382</v>
      </c>
      <c r="AG13" s="82">
        <f>AE13/I13</f>
        <v>9.2578343751888323E-2</v>
      </c>
      <c r="AH13" s="10">
        <f>Y13/W13</f>
        <v>2.7458298543833089E-2</v>
      </c>
      <c r="AI13" s="10">
        <f>(W13*60/MAX(K13:U13))</f>
        <v>0.5789919134371132</v>
      </c>
      <c r="AJ13" s="10">
        <f>1/AI13</f>
        <v>1.7271398387304322</v>
      </c>
      <c r="AK13" s="10">
        <f>MAX(K13:U13)</f>
        <v>1671.35107551752</v>
      </c>
      <c r="AM13" s="248">
        <f t="shared" si="10"/>
        <v>749.88458439029546</v>
      </c>
    </row>
    <row r="14" spans="1:39" s="11" customFormat="1">
      <c r="A14" s="14">
        <v>41605</v>
      </c>
      <c r="B14" s="11" t="s">
        <v>15</v>
      </c>
      <c r="C14" s="1" t="s">
        <v>84</v>
      </c>
      <c r="D14" s="1">
        <v>10</v>
      </c>
      <c r="E14" s="14">
        <v>41595</v>
      </c>
      <c r="F14" s="11">
        <v>5.8566068695475302</v>
      </c>
      <c r="G14" s="11">
        <v>50.241076606604203</v>
      </c>
      <c r="H14" s="33">
        <f>F14*G14/100</f>
        <v>2.942422343877019</v>
      </c>
      <c r="I14" s="11">
        <v>62</v>
      </c>
      <c r="J14" s="11">
        <v>0</v>
      </c>
      <c r="K14" s="11">
        <v>913.19090933774999</v>
      </c>
      <c r="L14" s="11">
        <v>1023.75885850824</v>
      </c>
      <c r="M14" s="11">
        <v>1032.1223356594001</v>
      </c>
      <c r="N14" s="11">
        <v>897.36354503244695</v>
      </c>
      <c r="O14" s="11">
        <v>614.59083874120904</v>
      </c>
      <c r="P14" s="11">
        <v>340.64204460511797</v>
      </c>
      <c r="Q14" s="11">
        <v>186.374197608559</v>
      </c>
      <c r="R14" s="11">
        <v>124.182679233622</v>
      </c>
      <c r="S14" s="11">
        <v>84.037743088511505</v>
      </c>
      <c r="T14" s="11">
        <v>74.566947960618904</v>
      </c>
      <c r="U14" s="11">
        <v>64.375486607402195</v>
      </c>
      <c r="W14" s="11">
        <v>9.6684645151817001</v>
      </c>
      <c r="Y14" s="206">
        <v>0.29198439589096598</v>
      </c>
      <c r="Z14" s="1"/>
      <c r="AA14" s="1">
        <f>T14/MAX(K14:U14)</f>
        <v>7.2246230300771208E-2</v>
      </c>
      <c r="AC14" s="10">
        <f>AA14/AJ14</f>
        <v>4.0606239583356483E-2</v>
      </c>
      <c r="AD14" s="10">
        <f>N14/W14</f>
        <v>92.813449707901498</v>
      </c>
      <c r="AE14" s="11">
        <v>7.5596721873483199</v>
      </c>
      <c r="AF14" s="206"/>
      <c r="AG14" s="82">
        <f>AE14/I14</f>
        <v>0.12193019657013419</v>
      </c>
      <c r="AH14" s="10">
        <f>Y14/W14</f>
        <v>3.0199665668988462E-2</v>
      </c>
      <c r="AI14" s="10">
        <f>(W14*60/MAX(K14:U14))</f>
        <v>0.56205340284616934</v>
      </c>
      <c r="AJ14" s="10">
        <f>1/AI14</f>
        <v>1.7791903668514824</v>
      </c>
      <c r="AM14" s="248">
        <f t="shared" si="10"/>
        <v>468.69967561559582</v>
      </c>
    </row>
    <row r="15" spans="1:39" s="11" customFormat="1">
      <c r="A15" s="14">
        <v>41605</v>
      </c>
      <c r="B15" s="11" t="s">
        <v>10</v>
      </c>
      <c r="C15" s="1" t="s">
        <v>84</v>
      </c>
      <c r="D15" s="1">
        <v>10</v>
      </c>
      <c r="E15" s="14">
        <v>41595</v>
      </c>
      <c r="F15" s="11">
        <v>6.8959413084036703</v>
      </c>
      <c r="G15" s="11">
        <v>22.219328327869</v>
      </c>
      <c r="H15" s="33">
        <f>F15*G15/100</f>
        <v>1.5322318406113569</v>
      </c>
      <c r="I15" s="11">
        <v>59</v>
      </c>
      <c r="J15" s="11">
        <v>0</v>
      </c>
      <c r="K15" s="11">
        <v>902.31315735395799</v>
      </c>
      <c r="L15" s="11">
        <v>997.33475312447501</v>
      </c>
      <c r="M15" s="11">
        <v>1080.7743092529299</v>
      </c>
      <c r="N15" s="11">
        <v>1106.9889966186599</v>
      </c>
      <c r="O15" s="11">
        <v>771.21978740495797</v>
      </c>
      <c r="P15" s="11">
        <v>358.34717778900301</v>
      </c>
      <c r="Q15" s="11">
        <v>182.50183292278501</v>
      </c>
      <c r="R15" s="11">
        <v>104.702542132172</v>
      </c>
      <c r="S15" s="11">
        <v>74.539601821384693</v>
      </c>
      <c r="T15" s="11">
        <v>51.139944713199696</v>
      </c>
      <c r="U15" s="11">
        <v>46.654793786823802</v>
      </c>
      <c r="W15" s="11">
        <v>4.6336406202307696</v>
      </c>
      <c r="Y15" s="206">
        <v>0.34970737859210399</v>
      </c>
      <c r="Z15" s="1"/>
      <c r="AA15" s="1">
        <f>T15/MAX(K15:U15)</f>
        <v>4.61973378862921E-2</v>
      </c>
      <c r="AC15" s="10">
        <f>AA15/AJ15</f>
        <v>1.1602384234909783E-2</v>
      </c>
      <c r="AD15" s="10">
        <f>N15/W15</f>
        <v>238.90264423733589</v>
      </c>
      <c r="AE15" s="11">
        <v>10.5864594295972</v>
      </c>
      <c r="AF15" s="206"/>
      <c r="AG15" s="82">
        <f>AE15/I15</f>
        <v>0.17943151575588476</v>
      </c>
      <c r="AH15" s="10">
        <f>Y15/W15</f>
        <v>7.5471407313130706E-2</v>
      </c>
      <c r="AI15" s="10">
        <f>(W15*60/MAX(K15:U15))</f>
        <v>0.2511483294441626</v>
      </c>
      <c r="AJ15" s="10">
        <f>1/AI15</f>
        <v>3.9817107372889309</v>
      </c>
      <c r="AM15" s="248">
        <f t="shared" si="10"/>
        <v>624.60110634623481</v>
      </c>
    </row>
    <row r="16" spans="1:39">
      <c r="G16" s="5"/>
      <c r="I16" s="5"/>
      <c r="N16" s="5"/>
      <c r="O16" s="5"/>
      <c r="P16" s="5"/>
      <c r="Q16" s="5"/>
      <c r="R16" s="5"/>
      <c r="T16" s="5"/>
      <c r="U16" s="5"/>
      <c r="V16" s="5"/>
    </row>
    <row r="17" spans="1:39" s="11" customFormat="1">
      <c r="A17" s="14"/>
      <c r="C17" s="1"/>
      <c r="D17" s="1"/>
      <c r="E17" s="14"/>
      <c r="F17" s="35"/>
      <c r="H17" s="203">
        <f>AVERAGE(I2:I8)</f>
        <v>72.428571428571431</v>
      </c>
      <c r="I17" s="3">
        <f>_xlfn.T.TEST(I2:I8,I9:I15,2,1)</f>
        <v>0.12216518172928027</v>
      </c>
      <c r="K17" s="11">
        <f>_xlfn.T.TEST(K2:K8,K9:K15,2,1)</f>
        <v>0.45063664358646338</v>
      </c>
      <c r="L17" s="11">
        <f t="shared" ref="L17:U17" si="13">_xlfn.T.TEST(L2:L8,L9:L15,2,1)</f>
        <v>0.19600426784250205</v>
      </c>
      <c r="M17" s="11">
        <f t="shared" si="13"/>
        <v>5.9426930253063434E-2</v>
      </c>
      <c r="N17" s="3">
        <f t="shared" si="13"/>
        <v>2.0063163580737011E-3</v>
      </c>
      <c r="O17" s="10">
        <f t="shared" si="13"/>
        <v>2.7519078503144587E-3</v>
      </c>
      <c r="P17" s="10">
        <f t="shared" si="13"/>
        <v>1.7713691253920773E-2</v>
      </c>
      <c r="Q17" s="10">
        <f t="shared" si="13"/>
        <v>4.1979180584387522E-2</v>
      </c>
      <c r="R17" s="3">
        <f t="shared" si="13"/>
        <v>6.8200023423617112E-2</v>
      </c>
      <c r="S17" s="11">
        <f t="shared" si="13"/>
        <v>1.7889679455091768E-2</v>
      </c>
      <c r="T17" s="3">
        <f t="shared" si="13"/>
        <v>6.120577654512447E-2</v>
      </c>
      <c r="U17" s="11">
        <f t="shared" si="13"/>
        <v>0.4478704810748968</v>
      </c>
      <c r="AA17" s="1"/>
      <c r="AB17" s="1"/>
      <c r="AC17" s="10"/>
      <c r="AD17" s="10"/>
      <c r="AE17" s="10">
        <f>_xlfn.T.TEST(W2:W8,W9:W15,1,2)</f>
        <v>0.22136179554833868</v>
      </c>
      <c r="AG17" s="82"/>
      <c r="AH17" s="10"/>
      <c r="AI17" s="10"/>
      <c r="AJ17" s="10">
        <f>AVERAGE(AJ2:AJ8)</f>
        <v>5.0046936828865407</v>
      </c>
      <c r="AK17" s="10"/>
      <c r="AM17" s="11">
        <f>_xlfn.T.TEST(AM2:AM8,AM9:AM15,2,1)</f>
        <v>0.22856784074477021</v>
      </c>
    </row>
    <row r="18" spans="1:39">
      <c r="F18" s="2"/>
      <c r="G18" s="5"/>
      <c r="H18" s="272">
        <f>AVERAGE(I9:I15)</f>
        <v>63.857142857142854</v>
      </c>
      <c r="I18" s="5"/>
      <c r="K18" s="5">
        <f>AVERAGE(K2:K8)/AVERAGE(K9:K15)</f>
        <v>0.76816184140718091</v>
      </c>
      <c r="L18" s="5">
        <f t="shared" ref="L18:U18" si="14">AVERAGE(L2:L8)/AVERAGE(L9:L15)</f>
        <v>0.73665678420452729</v>
      </c>
      <c r="M18" s="5">
        <f t="shared" si="14"/>
        <v>0.67550387275735813</v>
      </c>
      <c r="N18" s="5">
        <f t="shared" si="14"/>
        <v>0.63807898192019896</v>
      </c>
      <c r="O18" s="5">
        <f t="shared" si="14"/>
        <v>0.60938313555815793</v>
      </c>
      <c r="P18" s="5">
        <f t="shared" si="14"/>
        <v>0.51388906164371395</v>
      </c>
      <c r="Q18" s="5">
        <f t="shared" si="14"/>
        <v>0.4467857100238401</v>
      </c>
      <c r="R18" s="5">
        <f t="shared" si="14"/>
        <v>0.41850914915013593</v>
      </c>
      <c r="S18" s="5">
        <f t="shared" si="14"/>
        <v>0.52057035400994822</v>
      </c>
      <c r="T18" s="5">
        <f t="shared" si="14"/>
        <v>0.46480147182847498</v>
      </c>
      <c r="U18" s="5">
        <f t="shared" si="14"/>
        <v>0.75062256826815987</v>
      </c>
      <c r="V18" s="5"/>
    </row>
    <row r="19" spans="1:39">
      <c r="F19" s="2"/>
      <c r="G19" s="5"/>
      <c r="I19" s="5"/>
      <c r="N19" s="5"/>
      <c r="O19" s="5"/>
      <c r="P19" s="5"/>
      <c r="Q19" s="5"/>
      <c r="R19" s="5"/>
      <c r="T19" s="5"/>
      <c r="U19" s="5"/>
      <c r="V19" s="5"/>
      <c r="X19" s="273"/>
    </row>
    <row r="20" spans="1:39" s="11" customFormat="1">
      <c r="A20" s="14"/>
      <c r="E20" s="14"/>
      <c r="F20" s="35"/>
      <c r="G20" s="3"/>
      <c r="AA20" s="1"/>
      <c r="AB20" s="12"/>
      <c r="AC20" s="2"/>
      <c r="AD20" s="2"/>
      <c r="AE20" s="2"/>
      <c r="AF20" s="2"/>
      <c r="AG20" s="2"/>
      <c r="AH20" s="2"/>
      <c r="AI20" s="2"/>
    </row>
    <row r="21" spans="1:39" s="11" customFormat="1">
      <c r="A21" s="14"/>
      <c r="F21" s="14"/>
      <c r="G21" s="3"/>
      <c r="AA21" s="1"/>
      <c r="AB21" s="12"/>
      <c r="AC21" s="2"/>
      <c r="AD21" s="2"/>
      <c r="AE21" s="2"/>
      <c r="AF21" s="2"/>
      <c r="AG21" s="2"/>
      <c r="AH21" s="2"/>
      <c r="AI21" s="2"/>
    </row>
    <row r="22" spans="1:39" s="11" customFormat="1">
      <c r="A22" s="14"/>
      <c r="F22" s="14"/>
      <c r="G22" s="3"/>
      <c r="AA22" s="1"/>
      <c r="AB22" s="12"/>
      <c r="AC22" s="2"/>
      <c r="AD22" s="2"/>
      <c r="AE22" s="2"/>
      <c r="AF22" s="2"/>
      <c r="AG22" s="2"/>
      <c r="AH22" s="2"/>
      <c r="AI22" s="2"/>
    </row>
    <row r="23" spans="1:39">
      <c r="A23" s="19"/>
      <c r="B23" s="5"/>
      <c r="C23" s="5"/>
      <c r="D23" s="5"/>
      <c r="E23" s="19"/>
      <c r="F23" s="34"/>
      <c r="G23" s="5"/>
      <c r="H23" s="145" t="s">
        <v>90</v>
      </c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5"/>
      <c r="V23" s="5"/>
      <c r="W23" s="5"/>
      <c r="X23" s="5"/>
      <c r="Y23" s="5"/>
      <c r="AA23" s="12"/>
      <c r="AB23" s="12"/>
    </row>
    <row r="24" spans="1:39">
      <c r="G24" s="5"/>
      <c r="I24" s="5">
        <v>0</v>
      </c>
      <c r="J24" s="5">
        <v>0.5</v>
      </c>
      <c r="K24" s="5">
        <v>1</v>
      </c>
      <c r="L24" s="5">
        <v>2</v>
      </c>
      <c r="M24" s="5">
        <v>5</v>
      </c>
      <c r="N24" s="5">
        <v>10</v>
      </c>
      <c r="O24" s="5">
        <v>20</v>
      </c>
      <c r="P24" s="5">
        <v>30</v>
      </c>
      <c r="Q24" s="5">
        <v>40</v>
      </c>
      <c r="R24" s="5">
        <v>50</v>
      </c>
      <c r="S24" s="5">
        <v>60</v>
      </c>
      <c r="T24" s="5">
        <v>75</v>
      </c>
      <c r="U24" s="5"/>
      <c r="V24" s="5"/>
      <c r="Y24" s="12"/>
      <c r="Z24" s="12"/>
      <c r="AA24" s="12"/>
      <c r="AB24" s="12"/>
    </row>
    <row r="25" spans="1:39">
      <c r="G25" s="5">
        <f>COUNT(D2:D8)</f>
        <v>7</v>
      </c>
      <c r="I25" s="5"/>
      <c r="N25" s="5"/>
      <c r="O25" s="5"/>
      <c r="P25" s="5"/>
      <c r="Q25" s="5"/>
      <c r="R25" s="5"/>
      <c r="T25" s="5"/>
      <c r="U25" s="5"/>
      <c r="V25" s="5"/>
      <c r="Y25" s="12"/>
      <c r="Z25" s="12"/>
      <c r="AA25" s="12"/>
      <c r="AB25" s="12"/>
    </row>
    <row r="26" spans="1:39">
      <c r="B26" s="48"/>
      <c r="G26" s="5"/>
      <c r="H26" s="5" t="s">
        <v>33</v>
      </c>
      <c r="I26" s="5">
        <v>0</v>
      </c>
      <c r="J26" s="5">
        <f xml:space="preserve"> AVERAGE(K2:K8)</f>
        <v>581.64892152573623</v>
      </c>
      <c r="K26" s="5">
        <f xml:space="preserve"> AVERAGE(L2:L8)</f>
        <v>713.80145570137302</v>
      </c>
      <c r="L26" s="5">
        <f xml:space="preserve"> AVERAGE(M2:M8)</f>
        <v>813.25259350005774</v>
      </c>
      <c r="M26" s="5">
        <f xml:space="preserve"> AVERAGE(N2:N8)</f>
        <v>883.36923774980198</v>
      </c>
      <c r="N26" s="5">
        <f xml:space="preserve"> AVERAGE(O2:O8)</f>
        <v>757.51334978706848</v>
      </c>
      <c r="O26" s="5">
        <f xml:space="preserve"> AVERAGE(P2:P8)</f>
        <v>453.41943881655527</v>
      </c>
      <c r="P26" s="5">
        <f xml:space="preserve"> AVERAGE(Q2:Q8)</f>
        <v>283.23739506005091</v>
      </c>
      <c r="Q26" s="5">
        <f xml:space="preserve"> AVERAGE(R2:R8)</f>
        <v>191.50358692778084</v>
      </c>
      <c r="R26" s="5">
        <f xml:space="preserve"> AVERAGE(S2:S8)</f>
        <v>139.07501249423947</v>
      </c>
      <c r="S26" s="5">
        <f xml:space="preserve"> AVERAGE(T2:T8)</f>
        <v>103.06696593349992</v>
      </c>
      <c r="T26" s="5">
        <f xml:space="preserve"> AVERAGE(U2:U8)</f>
        <v>86.256136394141905</v>
      </c>
      <c r="U26" s="5"/>
      <c r="V26" s="5"/>
      <c r="Y26" s="12"/>
      <c r="Z26" s="12"/>
      <c r="AA26" s="12"/>
      <c r="AB26" s="12"/>
    </row>
    <row r="27" spans="1:39">
      <c r="G27" s="5"/>
      <c r="H27" s="5" t="s">
        <v>30</v>
      </c>
      <c r="I27" s="5">
        <v>0</v>
      </c>
      <c r="J27" s="5">
        <f>_xlfn.STDEV.P(K2:K8)</f>
        <v>592.7279262276362</v>
      </c>
      <c r="K27" s="5">
        <f>_xlfn.STDEV.P(L2:L8)</f>
        <v>624.10271236570759</v>
      </c>
      <c r="L27" s="5">
        <f>_xlfn.STDEV.P(M2:M8)</f>
        <v>685.22307511696999</v>
      </c>
      <c r="M27" s="5">
        <f>_xlfn.STDEV.P(N2:N8)</f>
        <v>622.69606592045284</v>
      </c>
      <c r="N27" s="5">
        <f>_xlfn.STDEV.P(O2:O8)</f>
        <v>505.93812315277756</v>
      </c>
      <c r="O27" s="5">
        <f>_xlfn.STDEV.P(P2:P8)</f>
        <v>339.92692656853848</v>
      </c>
      <c r="P27" s="5">
        <f>_xlfn.STDEV.P(Q2:Q8)</f>
        <v>248.55810867321185</v>
      </c>
      <c r="Q27" s="5">
        <f>_xlfn.STDEV.P(R2:R8)</f>
        <v>175.46511359402203</v>
      </c>
      <c r="R27" s="5">
        <f>_xlfn.STDEV.P(S2:S8)</f>
        <v>131.15672320145555</v>
      </c>
      <c r="S27" s="5">
        <f>_xlfn.STDEV.P(T2:T8)</f>
        <v>85.194807195668645</v>
      </c>
      <c r="T27" s="5">
        <f>_xlfn.STDEV.P(U2:U8)</f>
        <v>64.595503118018669</v>
      </c>
      <c r="U27" s="5"/>
      <c r="V27" s="5"/>
      <c r="Y27" s="12"/>
      <c r="Z27" s="12"/>
      <c r="AA27" s="12"/>
      <c r="AB27" s="12"/>
    </row>
    <row r="28" spans="1:39">
      <c r="G28" s="5"/>
      <c r="H28" s="5" t="s">
        <v>31</v>
      </c>
      <c r="I28" s="5">
        <v>0</v>
      </c>
      <c r="J28" s="5">
        <f>J27/SQRT(COUNT(K2:K8))</f>
        <v>224.03009827448062</v>
      </c>
      <c r="K28" s="5">
        <f>K27/SQRT(COUNT(L2:L8))</f>
        <v>235.88865278293397</v>
      </c>
      <c r="L28" s="5">
        <f>L27/SQRT(COUNT(M2:M8))</f>
        <v>258.9899784803477</v>
      </c>
      <c r="M28" s="5">
        <f>M27/SQRT(COUNT(N2:N8))</f>
        <v>235.35699040054297</v>
      </c>
      <c r="N28" s="5">
        <f>N27/SQRT(COUNT(O2:O8))</f>
        <v>191.22663609271706</v>
      </c>
      <c r="O28" s="5">
        <f>O27/SQRT(COUNT(P2:P8))</f>
        <v>128.48030166212391</v>
      </c>
      <c r="P28" s="5">
        <f>P27/SQRT(COUNT(Q2:Q8))</f>
        <v>93.946134556840747</v>
      </c>
      <c r="Q28" s="5">
        <f>Q27/SQRT(COUNT(R2:R8))</f>
        <v>66.319579191068726</v>
      </c>
      <c r="R28" s="5">
        <f>R27/SQRT(COUNT(S2:S8))</f>
        <v>49.57258176645523</v>
      </c>
      <c r="S28" s="5">
        <f>S27/SQRT(COUNT(T2:T8))</f>
        <v>32.200610404833618</v>
      </c>
      <c r="T28" s="5">
        <f>T27/SQRT(COUNT(U2:U8))</f>
        <v>24.41480529476782</v>
      </c>
      <c r="U28" s="5"/>
      <c r="V28" s="5"/>
      <c r="X28" s="4"/>
      <c r="Y28" s="12"/>
      <c r="Z28" s="12"/>
      <c r="AA28" s="12"/>
      <c r="AB28" s="12"/>
    </row>
    <row r="29" spans="1:39">
      <c r="G29" s="5"/>
      <c r="I29" s="5"/>
      <c r="N29" s="5"/>
      <c r="O29" s="5"/>
      <c r="P29" s="5"/>
      <c r="Q29" s="5"/>
      <c r="R29" s="5"/>
      <c r="T29" s="5"/>
      <c r="U29" s="5"/>
      <c r="V29" s="5"/>
      <c r="Y29" s="12"/>
      <c r="Z29" s="12"/>
      <c r="AA29" s="12"/>
      <c r="AB29" s="12"/>
    </row>
    <row r="30" spans="1:39">
      <c r="E30" s="5"/>
      <c r="G30" s="5">
        <f>COUNT(D11:D17)</f>
        <v>5</v>
      </c>
      <c r="H30" s="5" t="s">
        <v>29</v>
      </c>
      <c r="I30" s="5">
        <v>0</v>
      </c>
      <c r="J30" s="5">
        <f>AVERAGE(K9:K15)</f>
        <v>757.19580194223749</v>
      </c>
      <c r="K30" s="5">
        <f>AVERAGE(L9:L15)</f>
        <v>968.97425097654616</v>
      </c>
      <c r="L30" s="5">
        <f>AVERAGE(M9:M15)</f>
        <v>1203.9199570839162</v>
      </c>
      <c r="M30" s="5">
        <f>AVERAGE(N9:N15)</f>
        <v>1384.4198959373969</v>
      </c>
      <c r="N30" s="5">
        <f>AVERAGE(O9:O15)</f>
        <v>1243.0822344521107</v>
      </c>
      <c r="O30" s="5">
        <f>AVERAGE(P9:P15)</f>
        <v>882.32942216411084</v>
      </c>
      <c r="P30" s="5">
        <f>AVERAGE(Q9:Q15)</f>
        <v>633.94461529429316</v>
      </c>
      <c r="Q30" s="5">
        <f>AVERAGE(R9:R15)</f>
        <v>457.58518617016153</v>
      </c>
      <c r="R30" s="5">
        <f>AVERAGE(S9:S15)</f>
        <v>267.15891795017916</v>
      </c>
      <c r="S30" s="5">
        <f>AVERAGE(T9:T15)</f>
        <v>221.74406102469177</v>
      </c>
      <c r="T30" s="5">
        <f>AVERAGE(U9:U15)</f>
        <v>114.9127937801717</v>
      </c>
      <c r="U30" s="5"/>
      <c r="V30" s="5"/>
      <c r="Y30" s="12"/>
      <c r="Z30" s="12"/>
      <c r="AA30" s="12"/>
    </row>
    <row r="31" spans="1:39">
      <c r="G31" s="5"/>
      <c r="H31" s="5" t="s">
        <v>30</v>
      </c>
      <c r="I31" s="5">
        <v>0</v>
      </c>
      <c r="J31" s="5">
        <f>_xlfn.STDEV.P(K9:K15)</f>
        <v>464.35598233017328</v>
      </c>
      <c r="K31" s="5">
        <f>_xlfn.STDEV.P(L9:L15)</f>
        <v>502.04198763886984</v>
      </c>
      <c r="L31" s="5">
        <f>_xlfn.STDEV.P(M9:M15)</f>
        <v>593.97895975359995</v>
      </c>
      <c r="M31" s="5">
        <f>_xlfn.STDEV.P(N9:N15)</f>
        <v>564.96097104411774</v>
      </c>
      <c r="N31" s="5">
        <f>_xlfn.STDEV.P(O9:O15)</f>
        <v>532.39140354224389</v>
      </c>
      <c r="O31" s="5">
        <f>_xlfn.STDEV.P(P9:P15)</f>
        <v>474.53924996796297</v>
      </c>
      <c r="P31" s="5">
        <f>_xlfn.STDEV.P(Q9:Q15)</f>
        <v>421.03073742112514</v>
      </c>
      <c r="Q31" s="5">
        <f>_xlfn.STDEV.P(R9:R15)</f>
        <v>346.89461215107377</v>
      </c>
      <c r="R31" s="5">
        <f>_xlfn.STDEV.P(S9:S15)</f>
        <v>184.60553182087489</v>
      </c>
      <c r="S31" s="5">
        <f>_xlfn.STDEV.P(T9:T15)</f>
        <v>158.81481583710453</v>
      </c>
      <c r="T31" s="5">
        <f>_xlfn.STDEV.P(U9:U15)</f>
        <v>61.094444951789704</v>
      </c>
      <c r="U31" s="5"/>
      <c r="V31" s="5"/>
      <c r="Y31" s="12"/>
      <c r="Z31" s="12"/>
      <c r="AA31" s="12"/>
    </row>
    <row r="32" spans="1:39">
      <c r="G32" s="5"/>
      <c r="H32" s="5" t="s">
        <v>31</v>
      </c>
      <c r="I32" s="5">
        <v>0</v>
      </c>
      <c r="J32" s="5">
        <f>J31/SQRT(COUNT(K9:K15))</f>
        <v>175.51006415010596</v>
      </c>
      <c r="K32" s="5">
        <f>K31/SQRT(COUNT(L11:L17))</f>
        <v>204.95778319464847</v>
      </c>
      <c r="L32" s="5">
        <f>L31/SQRT(COUNT(M11:M17))</f>
        <v>242.49089489091091</v>
      </c>
      <c r="M32" s="5">
        <f>M31/SQRT(COUNT(N11:N17))</f>
        <v>230.64435060756512</v>
      </c>
      <c r="N32" s="5">
        <f>N31/SQRT(COUNT(O11:O17))</f>
        <v>217.34788035377773</v>
      </c>
      <c r="O32" s="5">
        <f>O31/SQRT(COUNT(P11:P17))</f>
        <v>193.72983755742467</v>
      </c>
      <c r="P32" s="5">
        <f>P31/SQRT(COUNT(Q11:Q17))</f>
        <v>171.88507878491396</v>
      </c>
      <c r="Q32" s="5">
        <f>Q31/SQRT(COUNT(R11:R17))</f>
        <v>141.61913238180068</v>
      </c>
      <c r="R32" s="5">
        <f>R31/SQRT(COUNT(S11:S17))</f>
        <v>75.364892776044442</v>
      </c>
      <c r="S32" s="5">
        <f>S31/SQRT(COUNT(T11:T17))</f>
        <v>64.83587706583117</v>
      </c>
      <c r="T32" s="5">
        <f>T31/SQRT(COUNT(U11:U17))</f>
        <v>24.941702708406734</v>
      </c>
      <c r="U32" s="5"/>
      <c r="V32" s="5"/>
      <c r="Y32" s="12"/>
      <c r="Z32" s="12"/>
      <c r="AA32" s="12"/>
    </row>
    <row r="33" spans="1:35">
      <c r="G33" s="5"/>
      <c r="I33" s="5"/>
      <c r="N33" s="5"/>
      <c r="O33" s="5"/>
      <c r="P33" s="5"/>
      <c r="Q33" s="5"/>
      <c r="R33" s="5"/>
      <c r="T33" s="5"/>
      <c r="U33" s="5"/>
      <c r="V33" s="5"/>
      <c r="Y33" s="12"/>
      <c r="Z33" s="12"/>
      <c r="AA33" s="12"/>
    </row>
    <row r="34" spans="1:35">
      <c r="F34" s="41"/>
      <c r="G34" s="5"/>
      <c r="I34" s="5"/>
      <c r="N34" s="5"/>
      <c r="O34" s="5"/>
      <c r="P34" s="5"/>
      <c r="Q34" s="5"/>
      <c r="R34" s="5"/>
      <c r="T34" s="5"/>
      <c r="U34" s="5"/>
      <c r="V34" s="5"/>
      <c r="Y34" s="12"/>
      <c r="Z34" s="12"/>
      <c r="AA34" s="12"/>
    </row>
    <row r="35" spans="1:35">
      <c r="G35" s="5"/>
      <c r="I35" s="5"/>
      <c r="N35" s="11"/>
      <c r="O35" s="5"/>
      <c r="P35" s="5"/>
      <c r="Q35" s="5"/>
      <c r="R35" s="5"/>
      <c r="T35" s="5"/>
      <c r="U35" s="5"/>
      <c r="V35" s="5"/>
    </row>
    <row r="36" spans="1:35">
      <c r="F36" s="34"/>
      <c r="G36" s="5"/>
      <c r="I36" s="5" t="s">
        <v>44</v>
      </c>
      <c r="J36" s="5">
        <f>J30/J26</f>
        <v>1.3018090018219588</v>
      </c>
      <c r="K36" s="5">
        <f>K30/K26</f>
        <v>1.3574842741451729</v>
      </c>
      <c r="L36" s="5">
        <f>L30/L26</f>
        <v>1.4803764128221384</v>
      </c>
      <c r="M36" s="37">
        <f>M30/M26</f>
        <v>1.5672041053454797</v>
      </c>
      <c r="N36" s="11">
        <f>N30/N26</f>
        <v>1.6410037325435018</v>
      </c>
      <c r="O36" s="5">
        <f>O30/O26</f>
        <v>1.9459452917744982</v>
      </c>
      <c r="P36" s="5">
        <f>P30/P26</f>
        <v>2.238209453804243</v>
      </c>
      <c r="Q36" s="5">
        <f>Q30/Q26</f>
        <v>2.3894340232004345</v>
      </c>
      <c r="R36" s="5">
        <f>R30/R26</f>
        <v>1.9209699367184667</v>
      </c>
      <c r="S36" s="6">
        <f>S30/S26</f>
        <v>2.151456182068693</v>
      </c>
      <c r="T36" s="5">
        <f>T30/T26</f>
        <v>1.3322274632738595</v>
      </c>
      <c r="U36" s="5"/>
      <c r="V36" s="5"/>
    </row>
    <row r="37" spans="1:35">
      <c r="A37" s="40"/>
      <c r="B37" s="40"/>
      <c r="C37" s="40"/>
      <c r="D37" s="40"/>
      <c r="F37" s="56"/>
      <c r="G37" s="5"/>
      <c r="I37" s="5"/>
      <c r="N37" s="11"/>
      <c r="O37" s="5"/>
      <c r="P37" s="5"/>
      <c r="Q37" s="5"/>
      <c r="R37" s="5"/>
      <c r="T37" s="5"/>
      <c r="U37" s="5"/>
      <c r="V37" s="5"/>
    </row>
    <row r="38" spans="1:35" ht="15">
      <c r="A38" s="64"/>
      <c r="B38" s="64" t="s">
        <v>45</v>
      </c>
      <c r="C38" s="64" t="s">
        <v>87</v>
      </c>
      <c r="D38" s="64" t="s">
        <v>88</v>
      </c>
      <c r="F38" s="57"/>
      <c r="G38" s="5"/>
      <c r="I38" s="5"/>
      <c r="N38" s="11"/>
      <c r="O38" s="5"/>
      <c r="P38" s="5"/>
      <c r="Q38" s="5"/>
      <c r="R38" s="5"/>
      <c r="T38" s="5"/>
      <c r="U38" s="5"/>
      <c r="V38" s="5"/>
    </row>
    <row r="39" spans="1:35" ht="15">
      <c r="A39" s="65" t="s">
        <v>48</v>
      </c>
      <c r="B39" s="274">
        <v>1.67</v>
      </c>
      <c r="C39" s="275">
        <f>M36</f>
        <v>1.5672041053454797</v>
      </c>
      <c r="D39" s="276">
        <f>S36</f>
        <v>2.151456182068693</v>
      </c>
      <c r="F39" s="4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"/>
      <c r="V39" s="5"/>
    </row>
    <row r="40" spans="1:35">
      <c r="A40" s="40"/>
      <c r="B40" s="40"/>
      <c r="C40" s="40"/>
      <c r="D40" s="40"/>
      <c r="F40" s="56"/>
      <c r="G40" s="11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5"/>
      <c r="V40" s="5"/>
    </row>
    <row r="41" spans="1:35">
      <c r="A41" s="40"/>
      <c r="B41" s="40"/>
      <c r="C41" s="40"/>
      <c r="D41" s="40"/>
      <c r="E41" s="40"/>
      <c r="F41" s="5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5"/>
      <c r="V41" s="5"/>
    </row>
    <row r="42" spans="1:35">
      <c r="A42" s="40"/>
      <c r="B42" s="40"/>
      <c r="C42" s="40"/>
      <c r="D42" s="40"/>
      <c r="E42" s="40"/>
      <c r="F42" s="34"/>
      <c r="G42" s="11"/>
      <c r="H42" s="11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11"/>
      <c r="V42" s="11"/>
    </row>
    <row r="43" spans="1:35">
      <c r="F43" s="34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35"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2"/>
      <c r="V44" s="11"/>
    </row>
    <row r="45" spans="1:35"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7"/>
      <c r="V45" s="11"/>
    </row>
    <row r="46" spans="1:35"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5"/>
      <c r="AB46" s="1"/>
      <c r="AC46" s="1"/>
      <c r="AD46" s="1"/>
      <c r="AE46" s="1"/>
      <c r="AF46" s="11"/>
      <c r="AG46" s="11"/>
      <c r="AH46" s="11"/>
      <c r="AI46" s="11"/>
    </row>
    <row r="47" spans="1:35">
      <c r="G47" s="17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5"/>
      <c r="AB47" s="1"/>
      <c r="AC47" s="1"/>
      <c r="AD47" s="1"/>
      <c r="AE47" s="1"/>
      <c r="AF47" s="11"/>
      <c r="AG47" s="11"/>
      <c r="AH47" s="11"/>
      <c r="AI47" s="11"/>
    </row>
    <row r="48" spans="1:35"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5"/>
      <c r="AB48" s="1"/>
      <c r="AC48" s="1"/>
      <c r="AD48" s="1"/>
      <c r="AE48" s="1"/>
      <c r="AF48" s="5"/>
      <c r="AG48" s="5"/>
      <c r="AH48" s="5"/>
      <c r="AI48" s="5"/>
    </row>
    <row r="49" spans="1:35">
      <c r="G49" s="17"/>
      <c r="H49" s="11"/>
      <c r="I49" s="10"/>
      <c r="J49" s="3"/>
      <c r="K49" s="3"/>
      <c r="L49" s="10"/>
      <c r="M49" s="10"/>
      <c r="N49" s="10"/>
      <c r="O49" s="3"/>
      <c r="P49" s="3"/>
      <c r="Q49" s="3"/>
      <c r="R49" s="3"/>
      <c r="S49" s="3"/>
      <c r="T49" s="3"/>
      <c r="U49" s="11"/>
      <c r="V49" s="11"/>
      <c r="W49" s="5"/>
      <c r="AB49" s="1"/>
      <c r="AC49" s="1"/>
      <c r="AD49" s="1"/>
      <c r="AE49" s="1"/>
      <c r="AF49" s="5"/>
      <c r="AG49" s="5"/>
      <c r="AH49" s="5"/>
      <c r="AI49" s="5"/>
    </row>
    <row r="50" spans="1:35" s="11" customFormat="1">
      <c r="A50" s="16"/>
      <c r="B50" s="7"/>
      <c r="C50" s="7"/>
      <c r="D50" s="7"/>
      <c r="E50" s="16"/>
      <c r="F50" s="32"/>
      <c r="V50" s="7"/>
      <c r="W50" s="7"/>
      <c r="X50" s="7"/>
      <c r="Y50" s="7"/>
      <c r="Z50" s="7"/>
      <c r="AA50" s="7"/>
      <c r="AB50" s="1"/>
      <c r="AC50" s="1"/>
      <c r="AD50" s="1"/>
      <c r="AE50" s="1"/>
      <c r="AF50" s="10"/>
      <c r="AG50" s="10"/>
      <c r="AH50" s="10"/>
      <c r="AI50" s="10"/>
    </row>
    <row r="51" spans="1:35" s="11" customFormat="1">
      <c r="A51" s="14"/>
      <c r="E51" s="14"/>
      <c r="F51" s="35"/>
      <c r="AB51" s="1"/>
      <c r="AC51" s="1"/>
      <c r="AD51" s="1"/>
      <c r="AE51" s="1"/>
    </row>
    <row r="52" spans="1:35" s="11" customFormat="1">
      <c r="A52" s="15"/>
      <c r="B52" s="3"/>
      <c r="C52" s="3"/>
      <c r="D52" s="3"/>
      <c r="E52" s="15"/>
      <c r="F52" s="36"/>
      <c r="G52" s="33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3"/>
      <c r="V52" s="3"/>
      <c r="W52" s="3"/>
      <c r="X52" s="3"/>
      <c r="Y52" s="3"/>
      <c r="Z52" s="3"/>
      <c r="AA52" s="1"/>
    </row>
    <row r="53" spans="1:35" s="11" customFormat="1">
      <c r="A53" s="14"/>
      <c r="E53" s="14"/>
      <c r="F53" s="35"/>
      <c r="AB53" s="1"/>
      <c r="AC53" s="1"/>
      <c r="AD53" s="1"/>
      <c r="AE53" s="1"/>
    </row>
    <row r="54" spans="1:35" s="10" customFormat="1">
      <c r="A54" s="14"/>
      <c r="B54" s="11"/>
      <c r="C54" s="11"/>
      <c r="D54" s="11"/>
      <c r="E54" s="14"/>
      <c r="F54" s="35"/>
      <c r="G54" s="11"/>
      <c r="H54" s="33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"/>
      <c r="AC54" s="1"/>
      <c r="AD54" s="1"/>
      <c r="AE54" s="1"/>
      <c r="AF54" s="11"/>
      <c r="AG54" s="11"/>
      <c r="AH54" s="11"/>
      <c r="AI54" s="11"/>
    </row>
    <row r="55" spans="1:35" s="11" customFormat="1">
      <c r="A55" s="30"/>
      <c r="B55" s="1"/>
      <c r="C55" s="1"/>
      <c r="D55" s="1"/>
      <c r="E55" s="30"/>
      <c r="F55" s="31"/>
      <c r="G55" s="158"/>
      <c r="H55" s="33"/>
      <c r="N55" s="10"/>
      <c r="U55" s="1"/>
      <c r="V55" s="1"/>
      <c r="W55" s="1"/>
      <c r="X55" s="1"/>
      <c r="Y55" s="1"/>
      <c r="Z55" s="1"/>
      <c r="AA55" s="10"/>
      <c r="AB55" s="1"/>
      <c r="AC55" s="1"/>
      <c r="AD55" s="1"/>
      <c r="AE55" s="1"/>
    </row>
    <row r="56" spans="1:35" s="11" customFormat="1">
      <c r="F56" s="35"/>
      <c r="H56" s="33"/>
      <c r="O56" s="75"/>
      <c r="AB56" s="12"/>
      <c r="AC56" s="12"/>
      <c r="AD56" s="12"/>
      <c r="AE56" s="12"/>
      <c r="AF56" s="12"/>
      <c r="AG56" s="12"/>
      <c r="AH56" s="12"/>
      <c r="AI56" s="12"/>
    </row>
    <row r="57" spans="1:35" s="11" customFormat="1">
      <c r="A57" s="14"/>
      <c r="B57" s="1"/>
      <c r="C57" s="1"/>
      <c r="D57" s="1"/>
      <c r="E57" s="20"/>
      <c r="F57" s="32"/>
      <c r="G57" s="2"/>
      <c r="H57" s="5"/>
      <c r="I57" s="171"/>
      <c r="J57" s="5"/>
      <c r="K57" s="5"/>
      <c r="L57" s="5"/>
      <c r="M57" s="5"/>
      <c r="N57" s="2"/>
      <c r="O57" s="2"/>
      <c r="P57" s="2"/>
      <c r="Q57" s="2"/>
      <c r="R57" s="2"/>
      <c r="S57" s="5"/>
      <c r="T57" s="172"/>
      <c r="AB57" s="12"/>
      <c r="AC57" s="12"/>
      <c r="AD57" s="12"/>
      <c r="AE57" s="12"/>
      <c r="AF57" s="12"/>
      <c r="AG57" s="12"/>
      <c r="AH57" s="12"/>
      <c r="AI57" s="12"/>
    </row>
    <row r="58" spans="1:35" s="11" customFormat="1">
      <c r="A58" s="20"/>
      <c r="B58" s="10"/>
      <c r="C58" s="10"/>
      <c r="D58" s="10"/>
      <c r="E58" s="20"/>
      <c r="F58" s="32"/>
      <c r="G58" s="2"/>
      <c r="H58" s="5"/>
      <c r="I58" s="171"/>
      <c r="J58" s="5"/>
      <c r="K58" s="5"/>
      <c r="L58" s="5"/>
      <c r="M58" s="5"/>
      <c r="N58" s="2"/>
      <c r="O58" s="2"/>
      <c r="P58" s="2"/>
      <c r="Q58" s="2"/>
      <c r="R58" s="2"/>
      <c r="S58" s="5"/>
      <c r="T58" s="172"/>
      <c r="AA58" s="1"/>
      <c r="AB58" s="12"/>
      <c r="AC58" s="12"/>
      <c r="AD58" s="12"/>
      <c r="AE58" s="12"/>
      <c r="AF58" s="12"/>
      <c r="AG58" s="12"/>
      <c r="AH58" s="12"/>
      <c r="AI58" s="12"/>
    </row>
    <row r="59" spans="1:35" s="11" customFormat="1">
      <c r="A59" s="14"/>
      <c r="E59" s="14"/>
      <c r="F59" s="35"/>
      <c r="G59" s="2"/>
      <c r="H59" s="5"/>
      <c r="I59" s="171"/>
      <c r="J59" s="5"/>
      <c r="K59" s="5"/>
      <c r="L59" s="5"/>
      <c r="M59" s="5"/>
      <c r="N59" s="2"/>
      <c r="O59" s="2"/>
      <c r="P59" s="2"/>
      <c r="Q59" s="2"/>
      <c r="R59" s="2"/>
      <c r="S59" s="5"/>
      <c r="T59" s="172"/>
      <c r="AA59" s="1"/>
      <c r="AB59" s="12"/>
      <c r="AC59" s="12"/>
      <c r="AD59" s="12"/>
      <c r="AE59" s="12"/>
      <c r="AF59" s="12"/>
      <c r="AG59" s="12"/>
      <c r="AH59" s="12"/>
      <c r="AI59" s="12"/>
    </row>
    <row r="85" spans="34:34">
      <c r="AH85" s="11"/>
    </row>
    <row r="86" spans="34:34">
      <c r="AH86" s="11"/>
    </row>
    <row r="103" spans="1:40">
      <c r="G103" s="241">
        <v>3.78</v>
      </c>
      <c r="H103" s="33">
        <f>F106*G103/100</f>
        <v>0.39292224381885255</v>
      </c>
      <c r="I103" s="13">
        <v>54</v>
      </c>
      <c r="J103" s="1">
        <v>0</v>
      </c>
      <c r="K103" s="13">
        <v>136.16970255221401</v>
      </c>
      <c r="L103" s="13">
        <v>289.35210902011698</v>
      </c>
      <c r="M103" s="13">
        <v>389.76683739268202</v>
      </c>
      <c r="N103" s="13">
        <v>537.01752410290703</v>
      </c>
      <c r="O103" s="13">
        <v>601.36578782126696</v>
      </c>
      <c r="P103" s="13">
        <v>444.42719187893999</v>
      </c>
      <c r="Q103" s="13">
        <v>291.39319660568799</v>
      </c>
      <c r="R103" s="13">
        <v>189.62695225693801</v>
      </c>
      <c r="S103" s="13">
        <v>119.395040729546</v>
      </c>
      <c r="T103" s="13">
        <v>110.95954372623601</v>
      </c>
    </row>
    <row r="104" spans="1:40">
      <c r="G104" s="241">
        <v>93.896317621734894</v>
      </c>
      <c r="H104" s="33">
        <f>F107*G104/100</f>
        <v>6.0291016803217259</v>
      </c>
      <c r="I104" s="13">
        <v>59</v>
      </c>
      <c r="J104" s="1">
        <v>0</v>
      </c>
      <c r="K104" s="13">
        <v>384.041560143168</v>
      </c>
      <c r="L104" s="13">
        <v>487.02632912194002</v>
      </c>
      <c r="M104" s="13">
        <v>640.42289903407504</v>
      </c>
      <c r="N104" s="13">
        <v>820.52697486112402</v>
      </c>
      <c r="O104" s="13">
        <v>914.30410163908698</v>
      </c>
      <c r="P104" s="13">
        <v>799.36615689294797</v>
      </c>
      <c r="Q104" s="13">
        <v>657.05173773180297</v>
      </c>
      <c r="R104" s="13">
        <v>472.900708657672</v>
      </c>
      <c r="S104" s="13">
        <v>362.154592300697</v>
      </c>
      <c r="T104" s="13">
        <v>256.98580282969903</v>
      </c>
    </row>
    <row r="105" spans="1:40">
      <c r="G105" s="18">
        <v>47.999433395144401</v>
      </c>
      <c r="H105" s="33">
        <f>F108*G105/100</f>
        <v>2.477268418228562</v>
      </c>
      <c r="I105" s="13">
        <v>105</v>
      </c>
      <c r="J105" s="1"/>
      <c r="K105" s="13">
        <v>652.75414238116196</v>
      </c>
      <c r="L105" s="13">
        <v>819.824297387088</v>
      </c>
      <c r="M105" s="13">
        <v>918.61682108740899</v>
      </c>
      <c r="N105" s="13">
        <v>865.54558514554606</v>
      </c>
      <c r="O105" s="13">
        <v>655.04437040895095</v>
      </c>
      <c r="P105" s="13">
        <v>367.64971284254398</v>
      </c>
      <c r="Q105" s="13">
        <v>205.11483805946199</v>
      </c>
      <c r="R105" s="13">
        <v>124.939474412739</v>
      </c>
      <c r="S105" s="13">
        <v>87.287396675268894</v>
      </c>
      <c r="T105" s="13">
        <v>69.406940502516093</v>
      </c>
    </row>
    <row r="106" spans="1:40" s="11" customFormat="1">
      <c r="A106" s="175">
        <v>41398</v>
      </c>
      <c r="B106" s="13" t="s">
        <v>15</v>
      </c>
      <c r="C106" s="1" t="s">
        <v>11</v>
      </c>
      <c r="D106" s="1">
        <v>6</v>
      </c>
      <c r="E106" s="30">
        <v>41390</v>
      </c>
      <c r="F106" s="31">
        <v>10.394768354996099</v>
      </c>
      <c r="G106" s="18">
        <v>53.796523204329603</v>
      </c>
      <c r="H106" s="33">
        <f>F109*G106/100</f>
        <v>3.1747803497392586</v>
      </c>
      <c r="I106" s="13">
        <v>90</v>
      </c>
      <c r="J106" s="1"/>
      <c r="K106" s="13">
        <v>1484.0801867699799</v>
      </c>
      <c r="L106" s="13">
        <v>1609.96245807795</v>
      </c>
      <c r="M106" s="13">
        <v>1671.35107551752</v>
      </c>
      <c r="N106" s="13">
        <v>1570.65230715855</v>
      </c>
      <c r="O106" s="13">
        <v>1167.3040939053999</v>
      </c>
      <c r="P106" s="13">
        <v>653.95160171157602</v>
      </c>
      <c r="Q106" s="13">
        <v>409.55627195582099</v>
      </c>
      <c r="R106" s="13">
        <v>271.86838752642097</v>
      </c>
      <c r="S106" s="13">
        <v>168.39273276922401</v>
      </c>
      <c r="T106" s="13">
        <v>131.30968284366401</v>
      </c>
      <c r="U106" s="13">
        <v>85.112428424058507</v>
      </c>
      <c r="V106" s="11">
        <f>AVERAGE(K103:T103)</f>
        <v>310.94738860865357</v>
      </c>
      <c r="W106" s="1">
        <v>1.1863803460125499</v>
      </c>
      <c r="X106" s="1">
        <v>1.8518518518518501</v>
      </c>
      <c r="Y106" s="1">
        <v>0.19756079546079899</v>
      </c>
      <c r="Z106" s="1">
        <v>0.32786885245901598</v>
      </c>
      <c r="AA106" s="1">
        <f>T103/MAX(K106:U106)</f>
        <v>6.6389129939009556E-2</v>
      </c>
      <c r="AB106" s="1">
        <f t="shared" ref="AB106:AB115" si="15">U106/MAX(K106:U106)</f>
        <v>5.0924326834028061E-2</v>
      </c>
      <c r="AC106" s="10">
        <f t="shared" ref="AC106:AC119" si="16">AA106/AJ106</f>
        <v>2.8275121882741267E-3</v>
      </c>
      <c r="AD106" s="10">
        <f>R103/W106</f>
        <v>159.83655907169933</v>
      </c>
      <c r="AE106" s="58">
        <v>97.800312664386297</v>
      </c>
      <c r="AF106" s="10">
        <f>(T103*I103)/W106</f>
        <v>5050.5012000201841</v>
      </c>
      <c r="AG106" s="82">
        <f>AE106/I103</f>
        <v>1.8111169011923389</v>
      </c>
      <c r="AH106" s="10">
        <f t="shared" ref="AH106:AH119" si="17">Y106/W106</f>
        <v>0.16652399555067235</v>
      </c>
      <c r="AI106" s="10">
        <f t="shared" ref="AI106:AI119" si="18">(W106*60/MAX(K106:U106))</f>
        <v>4.2589987108909377E-2</v>
      </c>
      <c r="AJ106" s="10">
        <f t="shared" ref="AJ106:AJ119" si="19">1/AI106</f>
        <v>23.479697174897957</v>
      </c>
      <c r="AK106" s="10">
        <f t="shared" ref="AK106:AK115" si="20">MAX(K106:U106)</f>
        <v>1671.35107551752</v>
      </c>
      <c r="AL106" s="11">
        <f>N104/N103</f>
        <v>1.5279333318439139</v>
      </c>
      <c r="AM106" s="11">
        <f>T104/T103</f>
        <v>2.3160315390602637</v>
      </c>
      <c r="AN106" s="11">
        <f>AE107/AE106</f>
        <v>1.683585838567587</v>
      </c>
    </row>
    <row r="107" spans="1:40" s="11" customFormat="1">
      <c r="A107" s="175">
        <v>41396</v>
      </c>
      <c r="B107" s="13" t="s">
        <v>15</v>
      </c>
      <c r="C107" s="1" t="s">
        <v>12</v>
      </c>
      <c r="D107" s="1">
        <v>10</v>
      </c>
      <c r="E107" s="30">
        <v>41390</v>
      </c>
      <c r="F107" s="31">
        <v>6.4210203690949896</v>
      </c>
      <c r="G107" s="158">
        <v>99.998775939855506</v>
      </c>
      <c r="H107" s="33">
        <f>F110*G107/100</f>
        <v>3.1266842322955544</v>
      </c>
      <c r="I107" s="257">
        <v>72</v>
      </c>
      <c r="J107" s="1"/>
      <c r="K107" s="257">
        <v>147.021315218632</v>
      </c>
      <c r="L107" s="257">
        <v>187.91852822600799</v>
      </c>
      <c r="M107" s="257">
        <v>248.4171779708</v>
      </c>
      <c r="N107" s="257">
        <v>318.022155939953</v>
      </c>
      <c r="O107" s="1">
        <v>325.98988665930102</v>
      </c>
      <c r="P107" s="1">
        <v>247.45639946956899</v>
      </c>
      <c r="Q107" s="1">
        <v>166.024048467863</v>
      </c>
      <c r="R107" s="1">
        <v>124.07466057670599</v>
      </c>
      <c r="S107" s="1">
        <v>108.004111011953</v>
      </c>
      <c r="T107" s="1">
        <v>71.922962332411203</v>
      </c>
      <c r="U107" s="13">
        <v>155.32438343498299</v>
      </c>
      <c r="V107" s="11">
        <f>AVERAGE(K104:T104)</f>
        <v>579.47808632122144</v>
      </c>
      <c r="W107" s="1">
        <v>1.5610548806045199</v>
      </c>
      <c r="X107" s="1">
        <v>1.7006802721088401</v>
      </c>
      <c r="Y107" s="1">
        <v>0.21956794047548001</v>
      </c>
      <c r="Z107" s="1">
        <v>0.32488628979857098</v>
      </c>
      <c r="AA107" s="1">
        <f>T104/MAX(K107:U107)</f>
        <v>0.78832446448953908</v>
      </c>
      <c r="AB107" s="1">
        <f t="shared" si="15"/>
        <v>0.47646994520819541</v>
      </c>
      <c r="AC107" s="10">
        <f t="shared" si="16"/>
        <v>0.22650109156499407</v>
      </c>
      <c r="AD107" s="10">
        <f>R104/W107</f>
        <v>302.93663248696339</v>
      </c>
      <c r="AE107" s="58">
        <v>164.65522140924301</v>
      </c>
      <c r="AF107" s="10">
        <f>(T104*I104)/W107/100</f>
        <v>97.127670239759169</v>
      </c>
      <c r="AG107" s="82">
        <f>AE107/I104</f>
        <v>2.7907664645634407</v>
      </c>
      <c r="AH107" s="10">
        <f t="shared" si="17"/>
        <v>0.14065356907276194</v>
      </c>
      <c r="AI107" s="10">
        <f t="shared" si="18"/>
        <v>0.28731962759986079</v>
      </c>
      <c r="AJ107" s="10">
        <f t="shared" si="19"/>
        <v>3.4804444386676647</v>
      </c>
      <c r="AK107" s="10">
        <f t="shared" si="20"/>
        <v>325.98988665930102</v>
      </c>
    </row>
    <row r="108" spans="1:40" s="11" customFormat="1">
      <c r="A108" s="175">
        <v>41395</v>
      </c>
      <c r="B108" s="13" t="s">
        <v>10</v>
      </c>
      <c r="C108" s="1" t="s">
        <v>11</v>
      </c>
      <c r="D108" s="1">
        <v>6</v>
      </c>
      <c r="E108" s="30">
        <v>41390</v>
      </c>
      <c r="F108" s="31">
        <v>5.1610367935700703</v>
      </c>
      <c r="G108" s="33">
        <v>15.878050789414999</v>
      </c>
      <c r="H108" s="33">
        <f>F111*G108/100</f>
        <v>0.80096180333310951</v>
      </c>
      <c r="I108" s="257">
        <v>43</v>
      </c>
      <c r="J108" s="1"/>
      <c r="K108" s="257">
        <v>134.57841014188699</v>
      </c>
      <c r="L108" s="257">
        <v>135.955705998285</v>
      </c>
      <c r="M108" s="257">
        <v>232.69027918864899</v>
      </c>
      <c r="N108" s="257">
        <v>917.54753913745697</v>
      </c>
      <c r="O108" s="1">
        <v>1294.6337637898</v>
      </c>
      <c r="P108" s="1">
        <v>1414.2916286961099</v>
      </c>
      <c r="Q108" s="1">
        <v>1288.2747808821</v>
      </c>
      <c r="R108" s="1">
        <v>1074.24178168967</v>
      </c>
      <c r="S108" s="1">
        <v>380.78891780996599</v>
      </c>
      <c r="T108" s="1">
        <v>472.28970260223099</v>
      </c>
      <c r="U108" s="13">
        <v>60.039042142151096</v>
      </c>
      <c r="V108" s="11">
        <f>AVERAGE(K105:T105)</f>
        <v>476.61835789026861</v>
      </c>
      <c r="W108" s="1">
        <v>7.4418789253239401</v>
      </c>
      <c r="X108" s="11">
        <v>5</v>
      </c>
      <c r="Y108" s="1">
        <v>0.26017861140132098</v>
      </c>
      <c r="Z108" s="1">
        <v>0.28296547821165802</v>
      </c>
      <c r="AA108" s="1">
        <f>T105/MAX(K108:U108)</f>
        <v>4.9075409267963381E-2</v>
      </c>
      <c r="AB108" s="1">
        <f t="shared" si="15"/>
        <v>4.2451670450388938E-2</v>
      </c>
      <c r="AC108" s="10">
        <f t="shared" si="16"/>
        <v>1.5493830829767753E-2</v>
      </c>
      <c r="AD108" s="10">
        <f>R105/W108</f>
        <v>16.788700228323115</v>
      </c>
      <c r="AE108" s="58">
        <v>9.1882873450354907</v>
      </c>
      <c r="AF108" s="10">
        <f>(T105*I105)/W108</f>
        <v>979.28612194493076</v>
      </c>
      <c r="AG108" s="82">
        <f>AE108/I105</f>
        <v>8.7507498524147534E-2</v>
      </c>
      <c r="AH108" s="10">
        <f t="shared" si="17"/>
        <v>3.496141418210396E-2</v>
      </c>
      <c r="AI108" s="10">
        <f t="shared" si="18"/>
        <v>0.31571475533026649</v>
      </c>
      <c r="AJ108" s="10">
        <f t="shared" si="19"/>
        <v>3.1674161030386703</v>
      </c>
      <c r="AK108" s="10">
        <f t="shared" si="20"/>
        <v>1414.2916286961099</v>
      </c>
      <c r="AL108" s="11">
        <f>N106/N105</f>
        <v>1.8146384593879437</v>
      </c>
      <c r="AM108" s="11">
        <f>T106/T105</f>
        <v>1.8918811561633935</v>
      </c>
      <c r="AN108" s="11">
        <f t="shared" ref="AN108:AN118" si="21">AE109/AE108</f>
        <v>0.90681218651393469</v>
      </c>
    </row>
    <row r="109" spans="1:40" s="11" customFormat="1">
      <c r="A109" s="175">
        <v>41393</v>
      </c>
      <c r="B109" s="13" t="s">
        <v>10</v>
      </c>
      <c r="C109" s="1" t="s">
        <v>12</v>
      </c>
      <c r="D109" s="1">
        <v>10</v>
      </c>
      <c r="E109" s="30">
        <v>41390</v>
      </c>
      <c r="F109" s="31">
        <v>5.9014600956289103</v>
      </c>
      <c r="G109" s="158">
        <v>4.43068481350367</v>
      </c>
      <c r="H109" s="33">
        <f>F112*G109/100</f>
        <v>0.45731411683488671</v>
      </c>
      <c r="I109" s="11">
        <v>76</v>
      </c>
      <c r="J109" s="11" t="s">
        <v>18</v>
      </c>
      <c r="K109" s="11">
        <v>601.55774840251695</v>
      </c>
      <c r="L109" s="11">
        <v>798.56343592995495</v>
      </c>
      <c r="M109" s="11">
        <v>1043.43945173406</v>
      </c>
      <c r="N109" s="10">
        <v>1191.74292961319</v>
      </c>
      <c r="O109" s="11">
        <v>978.99809765377302</v>
      </c>
      <c r="P109" s="11">
        <v>447.22483781278999</v>
      </c>
      <c r="Q109" s="11">
        <v>219.40651129170899</v>
      </c>
      <c r="R109" s="11">
        <v>120.22547996870399</v>
      </c>
      <c r="S109" s="11">
        <v>65.942310941610998</v>
      </c>
      <c r="T109" s="11">
        <v>42.583859981078497</v>
      </c>
      <c r="U109" s="13">
        <v>98.325551072189995</v>
      </c>
      <c r="V109" s="11">
        <f>AVERAGE(K106:T106)</f>
        <v>913.84287982361059</v>
      </c>
      <c r="W109" s="1">
        <v>16.128312620651101</v>
      </c>
      <c r="X109" s="1">
        <v>9.6153846153846203</v>
      </c>
      <c r="Y109" s="1">
        <v>0.44285602294610898</v>
      </c>
      <c r="Z109" s="1">
        <v>0.28425241614553698</v>
      </c>
      <c r="AA109" s="1">
        <f>T106/MAX(K109:U109)</f>
        <v>0.11018289228389537</v>
      </c>
      <c r="AB109" s="1">
        <f t="shared" si="15"/>
        <v>8.2505671843259035E-2</v>
      </c>
      <c r="AC109" s="10">
        <f t="shared" si="16"/>
        <v>8.9468831979342106E-2</v>
      </c>
      <c r="AD109" s="10">
        <f>R106/W109</f>
        <v>16.856592125968206</v>
      </c>
      <c r="AE109" s="58">
        <v>8.3320509376699494</v>
      </c>
      <c r="AF109" s="10">
        <f>(T106*I106)/W109/100</f>
        <v>7.3274072334125382</v>
      </c>
      <c r="AG109" s="82">
        <f>AE109/I106</f>
        <v>9.2578343751888323E-2</v>
      </c>
      <c r="AH109" s="10">
        <f t="shared" si="17"/>
        <v>2.7458298543833089E-2</v>
      </c>
      <c r="AI109" s="10">
        <f t="shared" si="18"/>
        <v>0.8120029355266718</v>
      </c>
      <c r="AJ109" s="10">
        <f t="shared" si="19"/>
        <v>1.2315226414192602</v>
      </c>
      <c r="AK109" s="10">
        <f t="shared" si="20"/>
        <v>1191.74292961319</v>
      </c>
    </row>
    <row r="110" spans="1:40" s="11" customFormat="1">
      <c r="A110" s="30">
        <v>41415</v>
      </c>
      <c r="B110" s="1" t="s">
        <v>10</v>
      </c>
      <c r="C110" s="1" t="s">
        <v>11</v>
      </c>
      <c r="D110" s="1">
        <v>6</v>
      </c>
      <c r="E110" s="30">
        <v>41411</v>
      </c>
      <c r="F110" s="31">
        <v>3.1267225052595702</v>
      </c>
      <c r="G110" s="22">
        <v>22.7743472133083</v>
      </c>
      <c r="H110" s="33">
        <f>F113*G110/100</f>
        <v>1.454929374027691</v>
      </c>
      <c r="I110" s="11">
        <v>82</v>
      </c>
      <c r="K110" s="11">
        <v>289.30051373438999</v>
      </c>
      <c r="L110" s="11">
        <v>911.60480922927195</v>
      </c>
      <c r="M110" s="11">
        <v>1790.58704565988</v>
      </c>
      <c r="N110" s="11">
        <v>2023.1377719090999</v>
      </c>
      <c r="O110" s="11">
        <v>1658.4673709083299</v>
      </c>
      <c r="P110" s="11">
        <v>911.62772951560203</v>
      </c>
      <c r="Q110" s="11">
        <v>497.57022323538399</v>
      </c>
      <c r="R110" s="11">
        <v>292.23200624294498</v>
      </c>
      <c r="S110" s="11">
        <v>175.50892149944599</v>
      </c>
      <c r="T110" s="11">
        <v>131.13534492015501</v>
      </c>
      <c r="U110" s="1">
        <v>80.770394767147295</v>
      </c>
      <c r="V110" s="11">
        <f>AVERAGE(K107:T107)</f>
        <v>194.4851245873196</v>
      </c>
      <c r="W110" s="1">
        <v>0.59208416659788599</v>
      </c>
      <c r="X110" s="1">
        <v>1.7985611510791399</v>
      </c>
      <c r="Y110" s="1">
        <v>0.12673562667909299</v>
      </c>
      <c r="Z110" s="1">
        <v>0.325097529258778</v>
      </c>
      <c r="AA110" s="1">
        <f>T107/MAX(K110:U110)</f>
        <v>3.5550204900055969E-2</v>
      </c>
      <c r="AB110" s="1">
        <f t="shared" si="15"/>
        <v>3.992332894409345E-2</v>
      </c>
      <c r="AC110" s="10">
        <f t="shared" si="16"/>
        <v>6.2423964594674516E-4</v>
      </c>
      <c r="AD110" s="10">
        <f>R107/W110</f>
        <v>209.55578205990318</v>
      </c>
      <c r="AE110" s="58">
        <v>112.477471148756</v>
      </c>
      <c r="AF110" s="10">
        <f>(T107*I107)/W110</f>
        <v>8746.1438425029755</v>
      </c>
      <c r="AG110" s="82">
        <f>AE110/I107</f>
        <v>1.5621870992882778</v>
      </c>
      <c r="AH110" s="10">
        <f t="shared" si="17"/>
        <v>0.21405001827242834</v>
      </c>
      <c r="AI110" s="10">
        <f t="shared" si="18"/>
        <v>1.7559382504311875E-2</v>
      </c>
      <c r="AJ110" s="10">
        <f t="shared" si="19"/>
        <v>56.949610827968485</v>
      </c>
      <c r="AK110" s="10">
        <f t="shared" si="20"/>
        <v>2023.1377719090999</v>
      </c>
      <c r="AL110" s="11">
        <f t="shared" ref="AL110:AL118" si="22">N108/N107</f>
        <v>2.8851686022489034</v>
      </c>
      <c r="AM110" s="11">
        <f>T108/T107</f>
        <v>6.5666052577119647</v>
      </c>
      <c r="AN110" s="11">
        <f t="shared" si="21"/>
        <v>3.1165069987634491</v>
      </c>
    </row>
    <row r="111" spans="1:40" s="11" customFormat="1">
      <c r="A111" s="30">
        <v>41414</v>
      </c>
      <c r="B111" s="1" t="s">
        <v>10</v>
      </c>
      <c r="C111" s="1" t="s">
        <v>12</v>
      </c>
      <c r="D111" s="1">
        <v>10</v>
      </c>
      <c r="E111" s="30">
        <v>41411</v>
      </c>
      <c r="F111" s="31">
        <v>5.0444592598674998</v>
      </c>
      <c r="G111" s="11">
        <v>31.099562851424</v>
      </c>
      <c r="H111" s="33">
        <f>F114*G111/100</f>
        <v>1.6094001438730192</v>
      </c>
      <c r="I111" s="11">
        <v>64</v>
      </c>
      <c r="K111" s="11">
        <v>1957.2034802784201</v>
      </c>
      <c r="L111" s="11">
        <v>2136.9623279195698</v>
      </c>
      <c r="M111" s="11">
        <v>2341.2379350348001</v>
      </c>
      <c r="N111" s="11">
        <v>2259.5489249806701</v>
      </c>
      <c r="O111" s="11">
        <v>1896.38255220418</v>
      </c>
      <c r="P111" s="11">
        <v>1252.1345630317101</v>
      </c>
      <c r="Q111" s="11">
        <v>875.04362016427206</v>
      </c>
      <c r="R111" s="11">
        <v>613.62383730828196</v>
      </c>
      <c r="S111" s="11">
        <v>456.560861932357</v>
      </c>
      <c r="T111" s="11">
        <v>306.11198926933503</v>
      </c>
      <c r="U111" s="1">
        <v>243.17211433315001</v>
      </c>
      <c r="V111" s="11">
        <f>AVERAGE(K108:T108)</f>
        <v>734.52925099361551</v>
      </c>
      <c r="W111" s="1">
        <v>1.34272758324597</v>
      </c>
      <c r="X111" s="1">
        <v>0.934579439252336</v>
      </c>
      <c r="Y111" s="1">
        <v>0.38072249850752499</v>
      </c>
      <c r="Z111" s="1">
        <v>0.394011032308905</v>
      </c>
      <c r="AA111" s="1">
        <f>T108/MAX(K111:U111)</f>
        <v>0.20172648646033958</v>
      </c>
      <c r="AB111" s="1">
        <f t="shared" si="15"/>
        <v>0.10386475919182281</v>
      </c>
      <c r="AC111" s="10">
        <f t="shared" si="16"/>
        <v>6.9415512260841573E-3</v>
      </c>
      <c r="AD111" s="10">
        <f>R108/W111</f>
        <v>800.0444729769755</v>
      </c>
      <c r="AE111" s="206">
        <v>350.53682603831197</v>
      </c>
      <c r="AF111" s="10">
        <f>(T108*I108)/W111/100</f>
        <v>151.24778447465388</v>
      </c>
      <c r="AG111" s="82">
        <f>AE111/I108</f>
        <v>8.152019210193302</v>
      </c>
      <c r="AH111" s="10">
        <f t="shared" si="17"/>
        <v>0.28354411070274532</v>
      </c>
      <c r="AI111" s="10">
        <f t="shared" si="18"/>
        <v>3.4410708022959098E-2</v>
      </c>
      <c r="AJ111" s="10">
        <f t="shared" si="19"/>
        <v>29.060721428131966</v>
      </c>
      <c r="AK111" s="10">
        <f t="shared" si="20"/>
        <v>2341.2379350348001</v>
      </c>
    </row>
    <row r="112" spans="1:40" s="11" customFormat="1">
      <c r="A112" s="20">
        <v>41430</v>
      </c>
      <c r="B112" s="10" t="s">
        <v>10</v>
      </c>
      <c r="C112" s="10" t="s">
        <v>11</v>
      </c>
      <c r="D112" s="10">
        <v>6</v>
      </c>
      <c r="E112" s="20">
        <v>41426</v>
      </c>
      <c r="F112" s="32">
        <v>10.321522204448</v>
      </c>
      <c r="G112" s="11">
        <v>31.403516692397101</v>
      </c>
      <c r="H112" s="33">
        <f>F115*G112/100</f>
        <v>1.1210014422294341</v>
      </c>
      <c r="I112" s="11">
        <v>52</v>
      </c>
      <c r="K112" s="11">
        <v>1192.86587611453</v>
      </c>
      <c r="L112" s="11">
        <v>1617.1768427756599</v>
      </c>
      <c r="M112" s="11">
        <v>1979.49175527496</v>
      </c>
      <c r="N112" s="11">
        <v>2354.7221368444398</v>
      </c>
      <c r="O112" s="11">
        <v>2281.0556847759899</v>
      </c>
      <c r="P112" s="11">
        <v>1698.0796159384199</v>
      </c>
      <c r="Q112" s="11">
        <v>1216.2832627236</v>
      </c>
      <c r="R112" s="11">
        <v>862.96819770862896</v>
      </c>
      <c r="S112" s="11">
        <v>624.68991636202497</v>
      </c>
      <c r="T112" s="11">
        <v>434.78100130327499</v>
      </c>
      <c r="U112" s="11">
        <v>29.492561915358301</v>
      </c>
      <c r="V112" s="11">
        <f>AVERAGE(K109:T109)</f>
        <v>550.96846633293876</v>
      </c>
      <c r="W112" s="11">
        <v>5.55597831834665</v>
      </c>
      <c r="X112" s="11">
        <v>4.4247787610619502</v>
      </c>
      <c r="Y112" s="11">
        <v>0.36722387316136601</v>
      </c>
      <c r="Z112" s="11">
        <v>0.29308323563892102</v>
      </c>
      <c r="AA112" s="1">
        <f>T109/MAX(K112:U112)</f>
        <v>1.8084452222522134E-2</v>
      </c>
      <c r="AB112" s="1">
        <f t="shared" si="15"/>
        <v>1.2524858646328966E-2</v>
      </c>
      <c r="AC112" s="10">
        <f t="shared" si="16"/>
        <v>2.5602211711185014E-3</v>
      </c>
      <c r="AD112" s="10">
        <f>R109/W112</f>
        <v>21.638939729426578</v>
      </c>
      <c r="AE112" s="58">
        <v>7.1647108034074503</v>
      </c>
      <c r="AG112" s="82">
        <f>AE112/I109</f>
        <v>9.4272510571150658E-2</v>
      </c>
      <c r="AH112" s="10">
        <f t="shared" si="17"/>
        <v>6.6095267497488119E-2</v>
      </c>
      <c r="AI112" s="10">
        <f t="shared" si="18"/>
        <v>0.14157029140921595</v>
      </c>
      <c r="AJ112" s="10">
        <f t="shared" si="19"/>
        <v>7.0636288874298518</v>
      </c>
      <c r="AK112" s="10">
        <f t="shared" si="20"/>
        <v>2354.7221368444398</v>
      </c>
      <c r="AL112" s="11">
        <f t="shared" si="22"/>
        <v>1.6976293474346518</v>
      </c>
      <c r="AM112" s="11">
        <f>T110/T109</f>
        <v>3.0794612085053594</v>
      </c>
      <c r="AN112" s="11">
        <f t="shared" si="21"/>
        <v>2.2125315122084914</v>
      </c>
    </row>
    <row r="113" spans="1:40" s="11" customFormat="1">
      <c r="A113" s="14">
        <v>41431</v>
      </c>
      <c r="B113" s="1" t="s">
        <v>10</v>
      </c>
      <c r="C113" s="1" t="s">
        <v>12</v>
      </c>
      <c r="D113" s="1">
        <v>10</v>
      </c>
      <c r="E113" s="20">
        <v>41426</v>
      </c>
      <c r="F113" s="32">
        <v>6.3884569792520596</v>
      </c>
      <c r="G113" s="54">
        <v>33.456858089655199</v>
      </c>
      <c r="H113" s="33">
        <f>F116*G113/100</f>
        <v>1.9143450598769454</v>
      </c>
      <c r="I113" s="11">
        <v>76</v>
      </c>
      <c r="K113" s="11">
        <v>254.06324467148099</v>
      </c>
      <c r="L113" s="11">
        <v>328.070828398635</v>
      </c>
      <c r="M113" s="11">
        <v>432.68758313614001</v>
      </c>
      <c r="N113" s="11">
        <v>492.48403491945697</v>
      </c>
      <c r="O113" s="11">
        <v>417.54228340171699</v>
      </c>
      <c r="P113" s="11">
        <v>201.256987004423</v>
      </c>
      <c r="Q113" s="11">
        <v>103.362784220252</v>
      </c>
      <c r="R113" s="11">
        <v>75.005582974980499</v>
      </c>
      <c r="S113" s="11">
        <v>58.718144235186003</v>
      </c>
      <c r="T113" s="11">
        <v>53.594990322213398</v>
      </c>
      <c r="U113" s="11">
        <v>99.217421749177205</v>
      </c>
      <c r="V113" s="11">
        <f>AVERAGE(K110:T110)</f>
        <v>868.11717368545033</v>
      </c>
      <c r="W113" s="11">
        <v>8.1591138786572905</v>
      </c>
      <c r="X113" s="11">
        <v>4</v>
      </c>
      <c r="Y113" s="11">
        <v>0.57660977876507602</v>
      </c>
      <c r="Z113" s="11">
        <v>0.299580587177951</v>
      </c>
      <c r="AA113" s="1">
        <f>T110/MAX(K113:U113)</f>
        <v>0.26627329135979294</v>
      </c>
      <c r="AB113" s="1">
        <f t="shared" si="15"/>
        <v>0.2014632246208827</v>
      </c>
      <c r="AC113" s="10">
        <f t="shared" si="16"/>
        <v>0.26468522262713573</v>
      </c>
      <c r="AD113" s="10">
        <f>R110/W113</f>
        <v>35.816635309793753</v>
      </c>
      <c r="AE113" s="58">
        <v>15.8521484283996</v>
      </c>
      <c r="AF113" s="10">
        <f>(T110*I110)/W113/100</f>
        <v>13.179247701862328</v>
      </c>
      <c r="AG113" s="82">
        <f>AE113/I110</f>
        <v>0.19331888327316585</v>
      </c>
      <c r="AH113" s="10">
        <f t="shared" si="17"/>
        <v>7.0670637441815704E-2</v>
      </c>
      <c r="AI113" s="10">
        <f t="shared" si="18"/>
        <v>0.99403594433167786</v>
      </c>
      <c r="AJ113" s="10">
        <f t="shared" si="19"/>
        <v>1.0059998390423719</v>
      </c>
      <c r="AK113" s="10">
        <f t="shared" si="20"/>
        <v>492.48403491945697</v>
      </c>
    </row>
    <row r="114" spans="1:40" s="11" customFormat="1">
      <c r="A114" s="14">
        <v>41452</v>
      </c>
      <c r="B114" s="11" t="s">
        <v>15</v>
      </c>
      <c r="C114" s="11" t="s">
        <v>11</v>
      </c>
      <c r="D114" s="11">
        <v>6</v>
      </c>
      <c r="E114" s="14">
        <v>41445</v>
      </c>
      <c r="F114" s="35">
        <v>5.17499281762196</v>
      </c>
      <c r="G114" s="11">
        <v>50.241076606604203</v>
      </c>
      <c r="H114" s="33">
        <f>F117*G114/100</f>
        <v>2.942422343877019</v>
      </c>
      <c r="I114" s="11">
        <v>62</v>
      </c>
      <c r="J114" s="11">
        <v>0</v>
      </c>
      <c r="K114" s="11">
        <v>913.19090933774999</v>
      </c>
      <c r="L114" s="11">
        <v>1023.75885850824</v>
      </c>
      <c r="M114" s="11">
        <v>1032.1223356594001</v>
      </c>
      <c r="N114" s="11">
        <v>897.36354503244695</v>
      </c>
      <c r="O114" s="11">
        <v>614.59083874120904</v>
      </c>
      <c r="P114" s="11">
        <v>340.64204460511797</v>
      </c>
      <c r="Q114" s="11">
        <v>186.374197608559</v>
      </c>
      <c r="R114" s="11">
        <v>124.182679233622</v>
      </c>
      <c r="S114" s="11">
        <v>84.037743088511505</v>
      </c>
      <c r="T114" s="11">
        <v>74.566947960618904</v>
      </c>
      <c r="U114" s="11">
        <v>238.60549141592401</v>
      </c>
      <c r="V114" s="11">
        <f>AVERAGE(K111:T111)</f>
        <v>1409.4810092123596</v>
      </c>
      <c r="W114" s="11">
        <v>14.0711431057341</v>
      </c>
      <c r="X114" s="11">
        <v>5.9523809523809499</v>
      </c>
      <c r="Y114" s="11">
        <v>0.58856977914293496</v>
      </c>
      <c r="Z114" s="11">
        <v>0.28409090909090901</v>
      </c>
      <c r="AA114" s="1">
        <f>T111/MAX(K114:U114)</f>
        <v>0.29658498677268413</v>
      </c>
      <c r="AB114" s="1">
        <f t="shared" si="15"/>
        <v>0.23117946698003028</v>
      </c>
      <c r="AC114" s="10">
        <f t="shared" si="16"/>
        <v>0.24260436855430345</v>
      </c>
      <c r="AD114" s="10">
        <f>R111/W114</f>
        <v>43.608670077289275</v>
      </c>
      <c r="AE114" s="11">
        <v>21.443220328276698</v>
      </c>
      <c r="AF114" s="10">
        <f>(T111*I111)/W114</f>
        <v>1392.2939427184056</v>
      </c>
      <c r="AG114" s="82">
        <f>AE114/I111</f>
        <v>0.33505031762932341</v>
      </c>
      <c r="AH114" s="10">
        <f t="shared" si="17"/>
        <v>4.1828142512678176E-2</v>
      </c>
      <c r="AI114" s="10">
        <f t="shared" si="18"/>
        <v>0.81799274870324501</v>
      </c>
      <c r="AJ114" s="10">
        <f t="shared" si="19"/>
        <v>1.2225047246265803</v>
      </c>
      <c r="AK114" s="10">
        <f t="shared" si="20"/>
        <v>1032.1223356594001</v>
      </c>
      <c r="AL114" s="11">
        <f t="shared" si="22"/>
        <v>1.0421204474979819</v>
      </c>
      <c r="AM114" s="11">
        <f>T112/T111</f>
        <v>1.4203331347493533</v>
      </c>
      <c r="AN114" s="11">
        <f t="shared" si="21"/>
        <v>3.3308711756851119</v>
      </c>
    </row>
    <row r="115" spans="1:40" s="11" customFormat="1">
      <c r="A115" s="14">
        <v>41453</v>
      </c>
      <c r="B115" s="11" t="s">
        <v>15</v>
      </c>
      <c r="C115" s="11" t="s">
        <v>12</v>
      </c>
      <c r="D115" s="11">
        <v>10</v>
      </c>
      <c r="E115" s="14">
        <v>41445</v>
      </c>
      <c r="F115" s="35">
        <v>3.5696684967159502</v>
      </c>
      <c r="G115" s="54">
        <v>33.4134032047793</v>
      </c>
      <c r="H115" s="33">
        <f>F118*G115/100</f>
        <v>2.5608113371951693</v>
      </c>
      <c r="I115" s="11">
        <v>60</v>
      </c>
      <c r="K115" s="11">
        <v>322.77281717572799</v>
      </c>
      <c r="L115" s="11">
        <v>435.91866302823797</v>
      </c>
      <c r="M115" s="11">
        <v>318.60234814451297</v>
      </c>
      <c r="N115" s="11">
        <v>519.22350954689</v>
      </c>
      <c r="O115" s="11">
        <v>427.27047036029001</v>
      </c>
      <c r="P115" s="11">
        <v>213.78637967591101</v>
      </c>
      <c r="Q115" s="11">
        <v>122.31676661111</v>
      </c>
      <c r="R115" s="11">
        <v>93.029120996116504</v>
      </c>
      <c r="S115" s="11">
        <v>77.617221933754394</v>
      </c>
      <c r="T115" s="11">
        <v>66.888475400709098</v>
      </c>
      <c r="U115" s="11">
        <v>97.319805477475697</v>
      </c>
      <c r="V115" s="11">
        <f>AVERAGE(K112:T112)</f>
        <v>1426.2114289821532</v>
      </c>
      <c r="W115" s="11">
        <v>6.0420585583922701</v>
      </c>
      <c r="X115" s="11">
        <v>2.52525252525253</v>
      </c>
      <c r="Y115" s="11">
        <v>0.62217152478256699</v>
      </c>
      <c r="Z115" s="11">
        <v>0.31766200762388802</v>
      </c>
      <c r="AA115" s="1">
        <f>T112/MAX(K115:U115)</f>
        <v>0.83736771026160717</v>
      </c>
      <c r="AB115" s="1">
        <f t="shared" si="15"/>
        <v>0.187433357095875</v>
      </c>
      <c r="AC115" s="10">
        <f t="shared" si="16"/>
        <v>0.58465281104732914</v>
      </c>
      <c r="AD115" s="10">
        <f>R112/W115</f>
        <v>142.82685104234673</v>
      </c>
      <c r="AE115" s="58">
        <v>71.424604505321895</v>
      </c>
      <c r="AF115" s="10">
        <f>(T112*I112)/W115/100</f>
        <v>37.418723849287254</v>
      </c>
      <c r="AG115" s="82">
        <f>AE115/I112</f>
        <v>1.3735500866408057</v>
      </c>
      <c r="AH115" s="10">
        <f t="shared" si="17"/>
        <v>0.10297343509165202</v>
      </c>
      <c r="AI115" s="10">
        <f t="shared" si="18"/>
        <v>0.69820319542136888</v>
      </c>
      <c r="AJ115" s="10">
        <f t="shared" si="19"/>
        <v>1.4322478134699674</v>
      </c>
      <c r="AK115" s="10">
        <f t="shared" si="20"/>
        <v>519.22350954689</v>
      </c>
    </row>
    <row r="116" spans="1:40" s="11" customFormat="1">
      <c r="A116" s="55">
        <v>41599</v>
      </c>
      <c r="B116" s="54" t="s">
        <v>15</v>
      </c>
      <c r="C116" s="54" t="s">
        <v>70</v>
      </c>
      <c r="D116" s="31">
        <v>6</v>
      </c>
      <c r="E116" s="14">
        <v>41595</v>
      </c>
      <c r="F116" s="54">
        <v>5.7218315442144201</v>
      </c>
      <c r="G116" s="11">
        <v>22.219328327869</v>
      </c>
      <c r="H116" s="33">
        <f>F119*G116/100</f>
        <v>1.5322318406113569</v>
      </c>
      <c r="I116" s="11">
        <v>59</v>
      </c>
      <c r="J116" s="11">
        <v>0</v>
      </c>
      <c r="K116" s="11">
        <v>902.31315735395799</v>
      </c>
      <c r="L116" s="11">
        <v>997.33475312447501</v>
      </c>
      <c r="M116" s="11">
        <v>1080.7743092529299</v>
      </c>
      <c r="N116" s="11">
        <v>1106.9889966186599</v>
      </c>
      <c r="O116" s="11">
        <v>771.21978740495797</v>
      </c>
      <c r="P116" s="11">
        <v>358.34717778900301</v>
      </c>
      <c r="Q116" s="11">
        <v>182.50183292278501</v>
      </c>
      <c r="R116" s="11">
        <v>104.702542132172</v>
      </c>
      <c r="S116" s="11">
        <v>74.539601821384693</v>
      </c>
      <c r="T116" s="11">
        <v>51.139944713199696</v>
      </c>
      <c r="U116" s="11">
        <v>48.223919915700698</v>
      </c>
      <c r="W116" s="11">
        <v>1.6149304873052901</v>
      </c>
      <c r="Y116" s="10">
        <v>0.163890638809956</v>
      </c>
      <c r="Z116" s="1">
        <f>T113/MAX(K116:U116)</f>
        <v>4.8415106641458351E-2</v>
      </c>
      <c r="AA116" s="1">
        <f>T113/MAX(K116:U116)</f>
        <v>4.8415106641458351E-2</v>
      </c>
      <c r="AC116" s="10">
        <f t="shared" si="16"/>
        <v>4.237821622450802E-3</v>
      </c>
      <c r="AD116" s="10">
        <f>R113/W116</f>
        <v>46.44508451886157</v>
      </c>
      <c r="AE116" s="1">
        <v>30.875490968013199</v>
      </c>
      <c r="AF116" s="206"/>
      <c r="AG116" s="82">
        <f>AE116/I113</f>
        <v>0.40625646010543681</v>
      </c>
      <c r="AH116" s="10">
        <f t="shared" si="17"/>
        <v>0.10148463980231599</v>
      </c>
      <c r="AI116" s="10">
        <f t="shared" si="18"/>
        <v>8.7530977755234607E-2</v>
      </c>
      <c r="AJ116" s="10">
        <f t="shared" si="19"/>
        <v>11.424526786349043</v>
      </c>
      <c r="AL116" s="11">
        <f t="shared" si="22"/>
        <v>1.8221170259442132</v>
      </c>
      <c r="AM116" s="11">
        <f>T114/T113</f>
        <v>1.3913044393202045</v>
      </c>
      <c r="AN116" s="11">
        <f t="shared" si="21"/>
        <v>0.24484378872485266</v>
      </c>
    </row>
    <row r="117" spans="1:40" s="11" customFormat="1">
      <c r="A117" s="14">
        <v>41605</v>
      </c>
      <c r="B117" s="11" t="s">
        <v>15</v>
      </c>
      <c r="C117" s="1" t="s">
        <v>84</v>
      </c>
      <c r="D117" s="1">
        <v>10</v>
      </c>
      <c r="E117" s="14">
        <v>41595</v>
      </c>
      <c r="F117" s="11">
        <v>5.8566068695475302</v>
      </c>
      <c r="G117" s="2"/>
      <c r="H117" s="5"/>
      <c r="I117" s="171"/>
      <c r="J117" s="5"/>
      <c r="K117" s="5"/>
      <c r="L117" s="5"/>
      <c r="M117" s="5"/>
      <c r="N117" s="2"/>
      <c r="O117" s="2"/>
      <c r="P117" s="2"/>
      <c r="Q117" s="2"/>
      <c r="R117" s="2"/>
      <c r="S117" s="5"/>
      <c r="T117" s="172"/>
      <c r="U117" s="11">
        <v>64.375486607402195</v>
      </c>
      <c r="W117" s="11">
        <v>9.6684645151817001</v>
      </c>
      <c r="Y117" s="206">
        <v>0.29198439589096598</v>
      </c>
      <c r="Z117" s="1"/>
      <c r="AA117" s="1">
        <f>T114/MAX(K117:U117)</f>
        <v>1.1583127660901416</v>
      </c>
      <c r="AC117" s="10">
        <f t="shared" si="16"/>
        <v>10.437922693825604</v>
      </c>
      <c r="AD117" s="10">
        <f>R114/W117</f>
        <v>12.844095258210524</v>
      </c>
      <c r="AE117" s="11">
        <v>7.5596721873483199</v>
      </c>
      <c r="AF117" s="206"/>
      <c r="AG117" s="82">
        <f>AE117/I114</f>
        <v>0.12193019657013419</v>
      </c>
      <c r="AH117" s="10">
        <f t="shared" si="17"/>
        <v>3.0199665668988462E-2</v>
      </c>
      <c r="AI117" s="10">
        <f t="shared" si="18"/>
        <v>9.0113162864107732</v>
      </c>
      <c r="AJ117" s="10">
        <f t="shared" si="19"/>
        <v>0.11097157931389202</v>
      </c>
    </row>
    <row r="118" spans="1:40" s="11" customFormat="1">
      <c r="A118" s="55">
        <v>41599</v>
      </c>
      <c r="B118" s="54" t="s">
        <v>10</v>
      </c>
      <c r="C118" s="54" t="s">
        <v>70</v>
      </c>
      <c r="D118" s="31">
        <v>6</v>
      </c>
      <c r="E118" s="14">
        <v>41595</v>
      </c>
      <c r="F118" s="11">
        <v>7.6640242883995802</v>
      </c>
      <c r="G118" s="2"/>
      <c r="H118" s="5"/>
      <c r="I118" s="171"/>
      <c r="J118" s="5"/>
      <c r="K118" s="5"/>
      <c r="L118" s="5"/>
      <c r="M118" s="5"/>
      <c r="N118" s="2"/>
      <c r="O118" s="2"/>
      <c r="P118" s="2"/>
      <c r="Q118" s="2"/>
      <c r="R118" s="2"/>
      <c r="S118" s="5"/>
      <c r="T118" s="172"/>
      <c r="U118" s="11">
        <v>61.549116178653399</v>
      </c>
      <c r="W118" s="11">
        <v>2.2073858121706902</v>
      </c>
      <c r="Y118" s="11">
        <v>0.16225031595131201</v>
      </c>
      <c r="Z118" s="1">
        <f>T115/MAX(K118:U118)</f>
        <v>1.0867495677201537</v>
      </c>
      <c r="AA118" s="1">
        <f>T115/MAX(K118:U118)</f>
        <v>1.0867495677201537</v>
      </c>
      <c r="AC118" s="10">
        <f t="shared" si="16"/>
        <v>2.3384988049593614</v>
      </c>
      <c r="AD118" s="10">
        <f>R115/W118</f>
        <v>42.144477183457973</v>
      </c>
      <c r="AE118" s="11">
        <v>28.922762935912399</v>
      </c>
      <c r="AF118" s="206"/>
      <c r="AG118" s="82">
        <f>AE118/I115</f>
        <v>0.48204604893187331</v>
      </c>
      <c r="AH118" s="10">
        <f t="shared" si="17"/>
        <v>7.3503379000048455E-2</v>
      </c>
      <c r="AI118" s="10">
        <f t="shared" si="18"/>
        <v>2.1518286037740966</v>
      </c>
      <c r="AJ118" s="10">
        <f t="shared" si="19"/>
        <v>0.46472102761627854</v>
      </c>
      <c r="AL118" s="11">
        <f t="shared" si="22"/>
        <v>2.1320086172228496</v>
      </c>
      <c r="AM118" s="11">
        <f>T116/T115</f>
        <v>0.76455539473482381</v>
      </c>
      <c r="AN118" s="11">
        <f t="shared" si="21"/>
        <v>0.3660251772299512</v>
      </c>
    </row>
    <row r="119" spans="1:40" s="11" customFormat="1">
      <c r="A119" s="14">
        <v>41605</v>
      </c>
      <c r="B119" s="11" t="s">
        <v>10</v>
      </c>
      <c r="C119" s="1" t="s">
        <v>84</v>
      </c>
      <c r="D119" s="1">
        <v>10</v>
      </c>
      <c r="E119" s="14">
        <v>41595</v>
      </c>
      <c r="F119" s="11">
        <v>6.8959413084036703</v>
      </c>
      <c r="G119" s="2"/>
      <c r="H119" s="5"/>
      <c r="I119" s="171"/>
      <c r="J119" s="5"/>
      <c r="K119" s="5"/>
      <c r="L119" s="5"/>
      <c r="M119" s="5"/>
      <c r="N119" s="2"/>
      <c r="O119" s="2"/>
      <c r="P119" s="2"/>
      <c r="Q119" s="2"/>
      <c r="R119" s="2"/>
      <c r="S119" s="5"/>
      <c r="T119" s="172"/>
      <c r="U119" s="11">
        <v>46.654793786823802</v>
      </c>
      <c r="W119" s="11">
        <v>4.6336406202307696</v>
      </c>
      <c r="Y119" s="206">
        <v>0.34970737859210399</v>
      </c>
      <c r="Z119" s="1"/>
      <c r="AA119" s="1">
        <f>T116/MAX(K119:U119)</f>
        <v>1.0961348355084271</v>
      </c>
      <c r="AC119" s="10">
        <f t="shared" si="16"/>
        <v>6.5319267155302541</v>
      </c>
      <c r="AD119" s="10">
        <f>R116/W119</f>
        <v>22.596172364993961</v>
      </c>
      <c r="AE119" s="11">
        <v>10.5864594295972</v>
      </c>
      <c r="AF119" s="206"/>
      <c r="AG119" s="82">
        <f>AE119/I116</f>
        <v>0.17943151575588476</v>
      </c>
      <c r="AH119" s="10">
        <f t="shared" si="17"/>
        <v>7.5471407313130706E-2</v>
      </c>
      <c r="AI119" s="10">
        <f t="shared" si="18"/>
        <v>5.9590540359941295</v>
      </c>
      <c r="AJ119" s="10">
        <f t="shared" si="19"/>
        <v>0.16781186979674254</v>
      </c>
    </row>
    <row r="126" spans="1:40">
      <c r="F126" s="23" t="s">
        <v>11</v>
      </c>
    </row>
    <row r="127" spans="1:40">
      <c r="F127" s="23" t="s">
        <v>12</v>
      </c>
    </row>
    <row r="146" ht="14.25" customHeight="1"/>
  </sheetData>
  <mergeCells count="2">
    <mergeCell ref="H23:T23"/>
    <mergeCell ref="H40:T4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topLeftCell="A59" workbookViewId="0">
      <selection activeCell="C19" sqref="C19"/>
    </sheetView>
  </sheetViews>
  <sheetFormatPr baseColWidth="10" defaultColWidth="8.83203125" defaultRowHeight="14" x14ac:dyDescent="0"/>
  <cols>
    <col min="1" max="2" width="14" style="2" customWidth="1"/>
    <col min="3" max="3" width="15.33203125" style="2" customWidth="1"/>
    <col min="4" max="4" width="12.83203125" style="2" customWidth="1"/>
    <col min="5" max="5" width="12.33203125" style="2" bestFit="1" customWidth="1"/>
    <col min="6" max="6" width="12.33203125" style="23" customWidth="1"/>
    <col min="7" max="7" width="12.5" style="2" customWidth="1"/>
    <col min="8" max="8" width="10.33203125" style="5" customWidth="1"/>
    <col min="9" max="9" width="9.83203125" style="171" customWidth="1"/>
    <col min="10" max="10" width="20.6640625" style="5" customWidth="1"/>
    <col min="11" max="12" width="14.33203125" style="5" customWidth="1"/>
    <col min="13" max="13" width="10.5" style="5" customWidth="1"/>
    <col min="14" max="14" width="10.6640625" style="2" bestFit="1" customWidth="1"/>
    <col min="15" max="18" width="8.83203125" style="2"/>
    <col min="19" max="19" width="8.83203125" style="5"/>
    <col min="20" max="20" width="11.6640625" style="172" customWidth="1"/>
    <col min="21" max="22" width="12.6640625" style="2" customWidth="1"/>
    <col min="23" max="23" width="10.6640625" style="2" bestFit="1" customWidth="1"/>
    <col min="24" max="24" width="9.6640625" style="2" bestFit="1" customWidth="1"/>
    <col min="25" max="25" width="15.6640625" style="2" bestFit="1" customWidth="1"/>
    <col min="26" max="26" width="13.83203125" style="2" customWidth="1"/>
    <col min="27" max="27" width="12.33203125" style="2" customWidth="1"/>
    <col min="28" max="30" width="8.83203125" style="2"/>
    <col min="31" max="31" width="18" style="2" customWidth="1"/>
    <col min="32" max="32" width="13" style="2" customWidth="1"/>
    <col min="33" max="33" width="14.6640625" style="2" customWidth="1"/>
    <col min="34" max="34" width="17.5" style="2" customWidth="1"/>
    <col min="35" max="36" width="14.83203125" style="2" bestFit="1" customWidth="1"/>
    <col min="37" max="16384" width="8.83203125" style="2"/>
  </cols>
  <sheetData>
    <row r="1" spans="1:39" s="43" customFormat="1" ht="52.5" customHeight="1" thickBot="1">
      <c r="A1" s="149" t="s">
        <v>9</v>
      </c>
      <c r="B1" s="149" t="s">
        <v>0</v>
      </c>
      <c r="C1" s="150" t="s">
        <v>8</v>
      </c>
      <c r="D1" s="150"/>
      <c r="E1" s="150" t="s">
        <v>7</v>
      </c>
      <c r="F1" s="151" t="s">
        <v>27</v>
      </c>
      <c r="G1" s="149" t="s">
        <v>17</v>
      </c>
      <c r="H1" s="149" t="s">
        <v>37</v>
      </c>
      <c r="I1" s="149" t="s">
        <v>62</v>
      </c>
      <c r="J1" s="149" t="s">
        <v>24</v>
      </c>
      <c r="K1" s="149" t="s">
        <v>23</v>
      </c>
      <c r="L1" s="149" t="s">
        <v>22</v>
      </c>
      <c r="M1" s="149" t="s">
        <v>20</v>
      </c>
      <c r="N1" s="149" t="s">
        <v>21</v>
      </c>
      <c r="O1" s="149" t="s">
        <v>1</v>
      </c>
      <c r="P1" s="149" t="s">
        <v>2</v>
      </c>
      <c r="Q1" s="149" t="s">
        <v>3</v>
      </c>
      <c r="R1" s="149" t="s">
        <v>4</v>
      </c>
      <c r="S1" s="149" t="s">
        <v>5</v>
      </c>
      <c r="T1" s="149" t="s">
        <v>6</v>
      </c>
      <c r="U1" s="149" t="s">
        <v>13</v>
      </c>
      <c r="V1" s="149" t="s">
        <v>81</v>
      </c>
      <c r="W1" s="149" t="s">
        <v>42</v>
      </c>
      <c r="X1" s="149" t="s">
        <v>26</v>
      </c>
      <c r="Y1" s="149" t="s">
        <v>40</v>
      </c>
      <c r="Z1" s="149" t="s">
        <v>25</v>
      </c>
      <c r="AA1" s="149" t="s">
        <v>28</v>
      </c>
      <c r="AB1" s="149" t="s">
        <v>36</v>
      </c>
      <c r="AC1" s="150" t="s">
        <v>85</v>
      </c>
      <c r="AD1" s="150" t="s">
        <v>162</v>
      </c>
      <c r="AE1" s="150" t="s">
        <v>74</v>
      </c>
      <c r="AF1" s="43" t="s">
        <v>75</v>
      </c>
      <c r="AH1" s="43" t="s">
        <v>76</v>
      </c>
      <c r="AI1" s="43" t="s">
        <v>39</v>
      </c>
      <c r="AJ1" s="43" t="s">
        <v>77</v>
      </c>
      <c r="AK1" s="43" t="s">
        <v>39</v>
      </c>
    </row>
    <row r="2" spans="1:39" s="93" customFormat="1">
      <c r="A2" s="97">
        <v>41572</v>
      </c>
      <c r="B2" s="95" t="s">
        <v>69</v>
      </c>
      <c r="C2" s="95" t="s">
        <v>70</v>
      </c>
      <c r="D2" s="160">
        <v>6</v>
      </c>
      <c r="E2" s="95"/>
      <c r="F2" s="95">
        <v>5.8169992159500099</v>
      </c>
      <c r="G2" s="95">
        <v>26.694736213944001</v>
      </c>
      <c r="H2" s="161">
        <f t="shared" ref="H2:H3" si="0">F2*G2/100</f>
        <v>1.5528325962650458</v>
      </c>
      <c r="I2" s="95">
        <v>88</v>
      </c>
      <c r="J2" s="95"/>
      <c r="K2" s="95">
        <v>324.74437194276999</v>
      </c>
      <c r="L2" s="95">
        <v>753.04004244847204</v>
      </c>
      <c r="M2" s="95">
        <v>931.78832484059001</v>
      </c>
      <c r="N2" s="95">
        <v>966.03426067386999</v>
      </c>
      <c r="O2" s="95">
        <v>874.67268934854405</v>
      </c>
      <c r="P2" s="95">
        <v>606.18562972856796</v>
      </c>
      <c r="Q2" s="95">
        <v>418.70622466625798</v>
      </c>
      <c r="R2" s="95">
        <v>287.957850184996</v>
      </c>
      <c r="S2" s="95">
        <v>177.62715875045299</v>
      </c>
      <c r="T2" s="95">
        <v>130.91477325515399</v>
      </c>
      <c r="U2" s="95">
        <v>60.902322903518701</v>
      </c>
      <c r="V2" s="162">
        <f t="shared" ref="V2" si="1">AVERAGE(K2:T2)</f>
        <v>547.16713258396749</v>
      </c>
      <c r="W2" s="93">
        <v>5.2579655645439702</v>
      </c>
      <c r="X2" s="93">
        <v>5.2631578947368398</v>
      </c>
      <c r="Y2" s="93">
        <v>0.25933918693409902</v>
      </c>
      <c r="Z2" s="93">
        <v>0.29205607476635498</v>
      </c>
      <c r="AA2" s="163">
        <f t="shared" ref="AA2:AA3" si="2">T2/MAX(K2:U2)</f>
        <v>0.13551773325703029</v>
      </c>
      <c r="AC2" s="164">
        <f t="shared" ref="AC2:AC3" si="3">AA2/AJ2</f>
        <v>4.4256043736180133E-2</v>
      </c>
      <c r="AD2" s="154">
        <f t="shared" ref="AD2:AD18" si="4">T2/I2</f>
        <v>1.4876678778994772</v>
      </c>
      <c r="AE2" s="165">
        <v>25.557605587870299</v>
      </c>
      <c r="AF2" s="155">
        <f t="shared" ref="AF2:AF17" si="5">W2/I2</f>
        <v>5.974960868799966E-2</v>
      </c>
      <c r="AG2" s="166">
        <f t="shared" ref="AG2:AG3" si="6">AE2/I2</f>
        <v>0.29042733622579886</v>
      </c>
      <c r="AH2" s="164">
        <f t="shared" ref="AH2:AH3" si="7">Y2/W2</f>
        <v>4.9323104868335479E-2</v>
      </c>
      <c r="AI2" s="164">
        <f t="shared" ref="AI2:AI3" si="8">(W2*60/MAX(K2:U2))</f>
        <v>0.32657012977218058</v>
      </c>
      <c r="AJ2" s="164">
        <f t="shared" ref="AJ2" si="9">1/AI2</f>
        <v>3.0621294136656423</v>
      </c>
      <c r="AK2" s="164">
        <f t="shared" ref="AK2:AK3" si="10">MAX(K2:U2)</f>
        <v>966.03426067386999</v>
      </c>
    </row>
    <row r="3" spans="1:39" customFormat="1">
      <c r="A3" s="55">
        <v>41572</v>
      </c>
      <c r="B3" s="54" t="s">
        <v>71</v>
      </c>
      <c r="C3" s="54" t="s">
        <v>70</v>
      </c>
      <c r="D3" s="1">
        <v>6</v>
      </c>
      <c r="E3" s="54"/>
      <c r="F3" s="54">
        <v>5.7315061971387502</v>
      </c>
      <c r="G3" s="54">
        <v>28.759094227258601</v>
      </c>
      <c r="H3" s="33">
        <f t="shared" si="0"/>
        <v>1.6483292678762993</v>
      </c>
      <c r="I3" s="54">
        <v>76</v>
      </c>
      <c r="J3" s="11" t="s">
        <v>163</v>
      </c>
      <c r="K3" s="2">
        <v>344.50207615513699</v>
      </c>
      <c r="L3" s="2">
        <v>416.20657047689201</v>
      </c>
      <c r="M3" s="167">
        <v>516.09141234350602</v>
      </c>
      <c r="N3" s="2">
        <v>590.42444984646897</v>
      </c>
      <c r="O3" s="2">
        <v>580.85213677947695</v>
      </c>
      <c r="P3" s="2">
        <v>397.18082238086402</v>
      </c>
      <c r="Q3" s="2">
        <v>278.12924984950803</v>
      </c>
      <c r="R3" s="2">
        <v>193.24658439447799</v>
      </c>
      <c r="S3" s="2">
        <v>105.83831604637</v>
      </c>
      <c r="T3" s="2">
        <v>77.567501360914505</v>
      </c>
      <c r="U3" s="2">
        <v>47.728384355216399</v>
      </c>
      <c r="V3" s="153">
        <f>AVERAGE(K3:T3)</f>
        <v>350.00391196336153</v>
      </c>
      <c r="W3" s="2">
        <v>1.5988227665571799</v>
      </c>
      <c r="X3" s="2">
        <v>2.6737967914438499</v>
      </c>
      <c r="Y3" s="2">
        <v>0.19601988419618699</v>
      </c>
      <c r="Z3" s="2">
        <v>0.30940594059405901</v>
      </c>
      <c r="AA3" s="152">
        <f t="shared" si="2"/>
        <v>0.13137582866204944</v>
      </c>
      <c r="AB3" s="2"/>
      <c r="AC3" s="154">
        <f t="shared" si="3"/>
        <v>2.1345321918306678E-2</v>
      </c>
      <c r="AD3" s="154">
        <f t="shared" si="4"/>
        <v>1.0206250179067697</v>
      </c>
      <c r="AE3" s="159">
        <v>46.742279570449398</v>
      </c>
      <c r="AF3" s="155">
        <f t="shared" si="5"/>
        <v>2.103714166522605E-2</v>
      </c>
      <c r="AG3" s="155">
        <f t="shared" si="6"/>
        <v>0.61502999434801842</v>
      </c>
      <c r="AH3" s="154">
        <f t="shared" si="7"/>
        <v>0.12260263507398372</v>
      </c>
      <c r="AI3" s="154">
        <f t="shared" si="8"/>
        <v>0.16247525999029305</v>
      </c>
      <c r="AJ3" s="154">
        <f>1/AI3</f>
        <v>6.1547831962832014</v>
      </c>
      <c r="AK3" s="154">
        <f t="shared" si="10"/>
        <v>590.42444984646897</v>
      </c>
    </row>
    <row r="4" spans="1:39" s="11" customFormat="1">
      <c r="A4" s="168"/>
      <c r="B4" s="1"/>
      <c r="C4" s="11" t="s">
        <v>11</v>
      </c>
      <c r="D4" s="1">
        <v>6</v>
      </c>
      <c r="E4" s="30"/>
      <c r="F4" s="10">
        <v>9.6655006090034696</v>
      </c>
      <c r="G4" s="11">
        <v>17.696448165134999</v>
      </c>
      <c r="H4" s="33"/>
      <c r="I4" s="11">
        <v>73</v>
      </c>
      <c r="J4" s="3" t="s">
        <v>164</v>
      </c>
      <c r="K4" s="11">
        <v>372.94681603206999</v>
      </c>
      <c r="L4" s="11">
        <v>519.31437731426195</v>
      </c>
      <c r="M4" s="11">
        <v>746.39587096030402</v>
      </c>
      <c r="N4" s="11">
        <v>955.24981575389904</v>
      </c>
      <c r="O4" s="11">
        <v>875.19047547159505</v>
      </c>
      <c r="P4" s="11">
        <v>645.46483404126798</v>
      </c>
      <c r="Q4" s="11">
        <v>496.82996588173597</v>
      </c>
      <c r="R4" s="11">
        <v>371.87286235046702</v>
      </c>
      <c r="S4" s="11">
        <v>256.21364772347903</v>
      </c>
      <c r="T4" s="11">
        <v>173.07661104542399</v>
      </c>
      <c r="U4" s="11">
        <v>127.86376093194301</v>
      </c>
      <c r="V4" s="153">
        <f>AVERAGE(K4:T4)</f>
        <v>541.25552765745044</v>
      </c>
      <c r="W4" s="11">
        <v>3.0552671997337599</v>
      </c>
      <c r="Y4" s="11">
        <v>0.25102698297144599</v>
      </c>
      <c r="AA4" s="152"/>
      <c r="AC4" s="10"/>
      <c r="AD4" s="154">
        <f t="shared" si="4"/>
        <v>2.3709124800743013</v>
      </c>
      <c r="AE4" s="11">
        <v>57.493593961725097</v>
      </c>
      <c r="AF4" s="155">
        <f t="shared" si="5"/>
        <v>4.1852975338818627E-2</v>
      </c>
      <c r="AG4" s="82"/>
      <c r="AH4" s="10"/>
      <c r="AI4" s="10"/>
      <c r="AJ4" s="10"/>
    </row>
    <row r="5" spans="1:39" s="62" customFormat="1">
      <c r="A5" s="55">
        <v>41792</v>
      </c>
      <c r="B5" s="54" t="s">
        <v>71</v>
      </c>
      <c r="C5" s="11" t="s">
        <v>11</v>
      </c>
      <c r="D5" s="1">
        <v>6</v>
      </c>
      <c r="E5" s="54"/>
      <c r="F5" s="54">
        <v>12.421463365708201</v>
      </c>
      <c r="G5" s="54">
        <v>30.535998319528701</v>
      </c>
      <c r="H5" s="5"/>
      <c r="I5" s="54">
        <v>83</v>
      </c>
      <c r="J5" s="54"/>
      <c r="K5" s="54">
        <v>466.59483910945897</v>
      </c>
      <c r="L5" s="62">
        <v>689.29402652125395</v>
      </c>
      <c r="M5" s="62">
        <v>879.69735141547005</v>
      </c>
      <c r="N5" s="62">
        <v>1058.43289131243</v>
      </c>
      <c r="O5" s="62">
        <v>888.45408352955803</v>
      </c>
      <c r="P5" s="62">
        <v>640.89230387904297</v>
      </c>
      <c r="Q5" s="62">
        <v>471.23138820530102</v>
      </c>
      <c r="R5" s="62">
        <v>345.67420654242801</v>
      </c>
      <c r="S5" s="62">
        <v>233.292657612504</v>
      </c>
      <c r="T5" s="141">
        <v>158.02521772806301</v>
      </c>
      <c r="U5" s="62">
        <v>113.147839272176</v>
      </c>
      <c r="W5" s="54">
        <v>4.3082166315528596</v>
      </c>
      <c r="AD5" s="154">
        <f t="shared" si="4"/>
        <v>1.9039182858802772</v>
      </c>
      <c r="AE5" s="21">
        <v>36.784675817034902</v>
      </c>
      <c r="AF5" s="155">
        <f t="shared" si="5"/>
        <v>5.1906224476540475E-2</v>
      </c>
    </row>
    <row r="6" spans="1:39" s="62" customFormat="1">
      <c r="A6" s="55">
        <v>41793</v>
      </c>
      <c r="B6" s="54" t="s">
        <v>96</v>
      </c>
      <c r="C6" s="11" t="s">
        <v>11</v>
      </c>
      <c r="D6" s="1">
        <v>6</v>
      </c>
      <c r="E6" s="54"/>
      <c r="F6" s="54">
        <v>6.3026305586160101</v>
      </c>
      <c r="G6" s="54">
        <v>27.542097486726998</v>
      </c>
      <c r="H6" s="21"/>
      <c r="I6" s="54">
        <v>65</v>
      </c>
      <c r="J6" s="54"/>
      <c r="K6" s="54">
        <v>55.607415047848299</v>
      </c>
      <c r="L6" s="62">
        <v>55.607415047848299</v>
      </c>
      <c r="M6" s="62">
        <v>52.317153405383202</v>
      </c>
      <c r="N6" s="62">
        <v>507.89026024876699</v>
      </c>
      <c r="O6" s="62">
        <v>741.89676526685503</v>
      </c>
      <c r="P6" s="62">
        <v>511.756518229905</v>
      </c>
      <c r="Q6" s="62">
        <v>349.61198927624201</v>
      </c>
      <c r="R6" s="62">
        <v>219.430125922249</v>
      </c>
      <c r="S6" s="62">
        <v>145.915873676698</v>
      </c>
      <c r="T6" s="141">
        <v>115.424571953822</v>
      </c>
      <c r="U6" s="62">
        <v>83.056222256786995</v>
      </c>
      <c r="W6" s="54">
        <v>1.52183021107102</v>
      </c>
      <c r="AD6" s="154">
        <f t="shared" si="4"/>
        <v>1.7757626454434152</v>
      </c>
      <c r="AE6" s="21">
        <v>81.414938886949997</v>
      </c>
      <c r="AF6" s="155">
        <f t="shared" si="5"/>
        <v>2.3412772478015691E-2</v>
      </c>
    </row>
    <row r="7" spans="1:39" customFormat="1">
      <c r="A7" s="55">
        <v>41800</v>
      </c>
      <c r="B7" s="54" t="s">
        <v>71</v>
      </c>
      <c r="C7" s="11" t="s">
        <v>11</v>
      </c>
      <c r="D7" s="11">
        <v>6</v>
      </c>
      <c r="E7" s="2"/>
      <c r="F7" s="169">
        <v>7.7647771846152196</v>
      </c>
      <c r="G7" s="169">
        <v>23.663773639919501</v>
      </c>
      <c r="H7" s="21"/>
      <c r="I7" s="54">
        <v>60</v>
      </c>
      <c r="J7" s="5"/>
      <c r="K7" s="5">
        <v>354.75893461137201</v>
      </c>
      <c r="L7">
        <v>521.93383546300299</v>
      </c>
      <c r="M7">
        <v>754.21558275337998</v>
      </c>
      <c r="N7">
        <v>1004.66495251808</v>
      </c>
      <c r="O7">
        <v>1005.3953055184199</v>
      </c>
      <c r="P7">
        <v>832.60282723470402</v>
      </c>
      <c r="Q7">
        <v>650.41518255183905</v>
      </c>
      <c r="R7">
        <v>502.28238270785198</v>
      </c>
      <c r="S7">
        <v>354.60800147662798</v>
      </c>
      <c r="T7" s="170">
        <v>286.22199757765299</v>
      </c>
      <c r="U7">
        <v>233.03675043722001</v>
      </c>
      <c r="W7" s="169">
        <v>2.8836074504446101</v>
      </c>
      <c r="AD7" s="154">
        <f>T7/I7</f>
        <v>4.7703666262942166</v>
      </c>
      <c r="AE7" s="169">
        <v>105.738293747198</v>
      </c>
      <c r="AF7" s="155">
        <f t="shared" si="5"/>
        <v>4.8060124174076832E-2</v>
      </c>
    </row>
    <row r="8" spans="1:39">
      <c r="AD8" s="154"/>
      <c r="AF8" s="155" t="e">
        <f t="shared" si="5"/>
        <v>#DIV/0!</v>
      </c>
    </row>
    <row r="9" spans="1:39" s="11" customFormat="1">
      <c r="A9" s="14">
        <v>41438</v>
      </c>
      <c r="B9" s="11" t="s">
        <v>15</v>
      </c>
      <c r="C9" s="11" t="s">
        <v>12</v>
      </c>
      <c r="D9" s="11">
        <v>10</v>
      </c>
      <c r="E9" s="14">
        <v>41426</v>
      </c>
      <c r="F9" s="35">
        <v>6.8982094095002902</v>
      </c>
      <c r="G9" s="11">
        <v>28.67</v>
      </c>
      <c r="H9" s="33">
        <f>F9*G9/100</f>
        <v>1.9777166377037332</v>
      </c>
      <c r="I9" s="11">
        <v>46</v>
      </c>
      <c r="K9" s="11">
        <v>822.62804219239297</v>
      </c>
      <c r="L9" s="11">
        <v>1048.2694801032801</v>
      </c>
      <c r="M9" s="11">
        <v>1401.8432343838699</v>
      </c>
      <c r="N9" s="11">
        <v>1737.3332997601001</v>
      </c>
      <c r="O9" s="11">
        <v>1666.2868222022801</v>
      </c>
      <c r="P9" s="11">
        <v>1398.5488856740001</v>
      </c>
      <c r="Q9" s="11">
        <v>1038.8996740344601</v>
      </c>
      <c r="R9" s="11">
        <v>637.15871257210904</v>
      </c>
      <c r="S9" s="11">
        <v>415.24794728932198</v>
      </c>
      <c r="T9" s="173">
        <v>272.04723384214799</v>
      </c>
      <c r="U9" s="11">
        <v>146.87949654892401</v>
      </c>
      <c r="V9" s="153">
        <f>AVERAGE(K9:T9)</f>
        <v>1043.8263332053962</v>
      </c>
      <c r="W9" s="11">
        <v>5.4807272099678999</v>
      </c>
      <c r="X9" s="11">
        <v>3.1446540880503102</v>
      </c>
      <c r="Y9" s="11">
        <v>0.45788085492014202</v>
      </c>
      <c r="Z9" s="11">
        <v>0.31075201988812901</v>
      </c>
      <c r="AA9" s="152">
        <f>T9/MAX(K9:U9)</f>
        <v>0.15658897108557907</v>
      </c>
      <c r="AB9" s="1">
        <f>U9/MAX(K9:U9)</f>
        <v>8.4543073323469872E-2</v>
      </c>
      <c r="AC9" s="154">
        <f>AA9/AJ9</f>
        <v>2.9639267309092072E-2</v>
      </c>
      <c r="AD9" s="154">
        <f t="shared" si="4"/>
        <v>5.9140703009162605</v>
      </c>
      <c r="AE9" s="174">
        <v>49.937887229483998</v>
      </c>
      <c r="AF9" s="155">
        <f t="shared" si="5"/>
        <v>0.11914624369495434</v>
      </c>
      <c r="AG9" s="155">
        <f>AE9/I9</f>
        <v>1.0856062441192174</v>
      </c>
      <c r="AH9" s="154">
        <f>Y9/W9</f>
        <v>8.3543814055803703E-2</v>
      </c>
      <c r="AI9" s="154">
        <f>(W9*60/MAX(K9:U9))</f>
        <v>0.18928068243639976</v>
      </c>
      <c r="AJ9" s="154">
        <f>1/AI9</f>
        <v>5.2831593120233507</v>
      </c>
      <c r="AK9" s="154">
        <f>MAX(K9:U9)</f>
        <v>1737.3332997601001</v>
      </c>
      <c r="AM9" s="11">
        <f>SQRT(0.54)</f>
        <v>0.73484692283495345</v>
      </c>
    </row>
    <row r="10" spans="1:39" s="11" customFormat="1">
      <c r="A10" s="175">
        <v>41393</v>
      </c>
      <c r="B10" s="13" t="s">
        <v>14</v>
      </c>
      <c r="C10" s="1" t="s">
        <v>12</v>
      </c>
      <c r="D10" s="1">
        <v>10</v>
      </c>
      <c r="E10" s="30">
        <v>41390</v>
      </c>
      <c r="F10" s="34">
        <v>4.8809741114758696</v>
      </c>
      <c r="G10" s="18">
        <v>12.415105597566599</v>
      </c>
      <c r="H10" s="33">
        <f>F10*G10/100</f>
        <v>0.60597809012961723</v>
      </c>
      <c r="I10" s="13">
        <v>82</v>
      </c>
      <c r="J10" s="1"/>
      <c r="K10" s="13">
        <v>454.40626623314199</v>
      </c>
      <c r="L10" s="13">
        <v>556.88496698099596</v>
      </c>
      <c r="M10" s="13">
        <v>687.71283303217899</v>
      </c>
      <c r="N10" s="13">
        <v>756.87546614893699</v>
      </c>
      <c r="O10" s="13">
        <v>672.81949156614905</v>
      </c>
      <c r="P10" s="13">
        <v>461.12197560295698</v>
      </c>
      <c r="Q10" s="13">
        <v>242.28580281581</v>
      </c>
      <c r="R10" s="13">
        <v>143.31830465953499</v>
      </c>
      <c r="S10" s="13">
        <v>103.40654765299701</v>
      </c>
      <c r="T10" s="13">
        <v>83.241500384238293</v>
      </c>
      <c r="U10" s="13">
        <v>70.529719978037505</v>
      </c>
      <c r="V10" s="153">
        <f>AVERAGE(K10:T10)</f>
        <v>416.20731550769398</v>
      </c>
      <c r="W10" s="1">
        <v>3.0183405074269598</v>
      </c>
      <c r="X10" s="1">
        <v>3.9682539682539701</v>
      </c>
      <c r="Y10" s="1">
        <v>0.21255070399985301</v>
      </c>
      <c r="Z10" s="1">
        <v>0.29797377830750899</v>
      </c>
      <c r="AA10" s="152">
        <f>T10/MAX(K10:U10)</f>
        <v>0.10998044474579143</v>
      </c>
      <c r="AB10" s="1">
        <f>U10/MAX(K10:U10)</f>
        <v>9.3185369499291917E-2</v>
      </c>
      <c r="AC10" s="154">
        <f>AA10/AJ10</f>
        <v>2.6315433350489848E-2</v>
      </c>
      <c r="AD10" s="154">
        <f t="shared" si="4"/>
        <v>1.0151402485882719</v>
      </c>
      <c r="AE10" s="157">
        <v>30.192361993803399</v>
      </c>
      <c r="AF10" s="155">
        <f t="shared" si="5"/>
        <v>3.6809030578377561E-2</v>
      </c>
      <c r="AG10" s="155">
        <f>AE10/I10</f>
        <v>0.36819953650979753</v>
      </c>
      <c r="AH10" s="154">
        <f>Y10/W10</f>
        <v>7.0419723512588642E-2</v>
      </c>
      <c r="AI10" s="154">
        <f>(W10*60/MAX(K10:U10))</f>
        <v>0.23927374917709496</v>
      </c>
      <c r="AJ10" s="154">
        <f>1/AI10</f>
        <v>4.1793134576575079</v>
      </c>
      <c r="AK10" s="154">
        <f>MAX(K10:U10)</f>
        <v>756.87546614893699</v>
      </c>
    </row>
    <row r="11" spans="1:39" s="11" customFormat="1">
      <c r="A11" s="14">
        <v>41431</v>
      </c>
      <c r="B11" s="1" t="s">
        <v>10</v>
      </c>
      <c r="C11" s="1" t="s">
        <v>12</v>
      </c>
      <c r="D11" s="1">
        <v>10</v>
      </c>
      <c r="E11" s="20">
        <v>41426</v>
      </c>
      <c r="F11" s="32">
        <v>6.3884569792520596</v>
      </c>
      <c r="G11" s="22">
        <v>22.7743472133083</v>
      </c>
      <c r="H11" s="33">
        <f>F11*G11/100</f>
        <v>1.454929374027691</v>
      </c>
      <c r="I11" s="11">
        <v>82</v>
      </c>
      <c r="K11" s="11">
        <v>289.30051373438999</v>
      </c>
      <c r="L11" s="11">
        <v>911.60480922927195</v>
      </c>
      <c r="M11" s="11">
        <v>1790.58704565988</v>
      </c>
      <c r="N11" s="11">
        <v>2023.1377719090999</v>
      </c>
      <c r="O11" s="11">
        <v>1658.4673709083299</v>
      </c>
      <c r="P11" s="11">
        <v>911.62772951560203</v>
      </c>
      <c r="Q11" s="11">
        <v>497.57022323538399</v>
      </c>
      <c r="R11" s="11">
        <v>292.23200624294498</v>
      </c>
      <c r="S11" s="11">
        <v>175.50892149944599</v>
      </c>
      <c r="T11" s="11">
        <v>131.13534492015501</v>
      </c>
      <c r="U11" s="11">
        <v>99.217421749177205</v>
      </c>
      <c r="V11" s="153">
        <f>AVERAGE(K11:T11)</f>
        <v>868.11717368545033</v>
      </c>
      <c r="W11" s="11">
        <v>8.1591138786572905</v>
      </c>
      <c r="X11" s="11">
        <v>4</v>
      </c>
      <c r="Y11" s="11">
        <v>0.57660977876507602</v>
      </c>
      <c r="Z11" s="11">
        <v>0.299580587177951</v>
      </c>
      <c r="AA11" s="152">
        <f>T11/MAX(K11:U11)</f>
        <v>6.4817802692898829E-2</v>
      </c>
      <c r="AB11" s="1">
        <f>U11/MAX(K11:U11)</f>
        <v>4.9041357008303171E-2</v>
      </c>
      <c r="AC11" s="154">
        <f>AA11/AJ11</f>
        <v>1.568422598437243E-2</v>
      </c>
      <c r="AD11" s="154">
        <f t="shared" si="4"/>
        <v>1.5992115234165245</v>
      </c>
      <c r="AE11" s="157">
        <v>15.8521484283996</v>
      </c>
      <c r="AF11" s="155">
        <f t="shared" si="5"/>
        <v>9.9501388764113297E-2</v>
      </c>
      <c r="AG11" s="155">
        <f>AE11/I11</f>
        <v>0.19331888327316585</v>
      </c>
      <c r="AH11" s="154">
        <f>Y11/W11</f>
        <v>7.0670637441815704E-2</v>
      </c>
      <c r="AI11" s="154">
        <f>(W11*60/MAX(K11:U11))</f>
        <v>0.24197404621509527</v>
      </c>
      <c r="AJ11" s="154">
        <f>1/AI11</f>
        <v>4.1326746221000956</v>
      </c>
      <c r="AK11" s="154">
        <f>MAX(K11:U11)</f>
        <v>2023.1377719090999</v>
      </c>
    </row>
    <row r="12" spans="1:39" s="177" customFormat="1" ht="15" thickBot="1">
      <c r="A12" s="176">
        <v>41511</v>
      </c>
      <c r="B12" s="177" t="s">
        <v>10</v>
      </c>
      <c r="C12" s="178" t="s">
        <v>12</v>
      </c>
      <c r="D12" s="178">
        <v>10</v>
      </c>
      <c r="E12" s="179">
        <v>41509</v>
      </c>
      <c r="F12" s="180">
        <v>4.1616233423900697</v>
      </c>
      <c r="G12" s="177">
        <v>12.4522346058165</v>
      </c>
      <c r="H12" s="33">
        <f>F12*G12/100</f>
        <v>0.51821510200483356</v>
      </c>
      <c r="I12" s="177">
        <v>92</v>
      </c>
      <c r="K12" s="177">
        <v>1657.5923549920799</v>
      </c>
      <c r="L12" s="177">
        <v>2037.1649445324899</v>
      </c>
      <c r="M12" s="177">
        <v>2451.8616418383499</v>
      </c>
      <c r="N12" s="177">
        <v>1567.91723613312</v>
      </c>
      <c r="O12" s="177">
        <v>1873.1992012678299</v>
      </c>
      <c r="P12" s="177">
        <v>1071.75404120444</v>
      </c>
      <c r="Q12" s="177">
        <v>750.96044223552099</v>
      </c>
      <c r="R12" s="177">
        <v>459.80225802359502</v>
      </c>
      <c r="S12" s="177">
        <v>312.96674357242102</v>
      </c>
      <c r="T12" s="177">
        <v>134.87340433345599</v>
      </c>
      <c r="U12" s="177">
        <v>100.01667353188699</v>
      </c>
      <c r="V12" s="153">
        <f>AVERAGE(K12:T12)</f>
        <v>1231.80922681333</v>
      </c>
      <c r="W12" s="177">
        <v>14.020881563655401</v>
      </c>
      <c r="Y12" s="177">
        <v>0.71254149164479597</v>
      </c>
      <c r="AA12" s="181">
        <f>T12/MAX(K12:U12)</f>
        <v>5.5008570643623675E-2</v>
      </c>
      <c r="AB12" s="178">
        <f>U12/MAX(K12:U12)</f>
        <v>4.0792135993814385E-2</v>
      </c>
      <c r="AC12" s="154">
        <f>AA12/AJ12</f>
        <v>1.8873870551731606E-2</v>
      </c>
      <c r="AD12" s="154">
        <f t="shared" si="4"/>
        <v>1.4660152644940869</v>
      </c>
      <c r="AE12" s="182">
        <v>9.6508409950448009</v>
      </c>
      <c r="AF12" s="155">
        <f t="shared" si="5"/>
        <v>0.15240088656147174</v>
      </c>
      <c r="AG12" s="155">
        <f>AE12/I12</f>
        <v>0.10490044559831305</v>
      </c>
      <c r="AH12" s="154">
        <f>Y12/W12</f>
        <v>5.082002072479018E-2</v>
      </c>
      <c r="AI12" s="154">
        <f>(W12*60/MAX(K12:U12))</f>
        <v>0.34310781630751885</v>
      </c>
      <c r="AJ12" s="154">
        <f>1/AI12</f>
        <v>2.9145357595226722</v>
      </c>
      <c r="AK12" s="154">
        <f>MAX(K12:U12)</f>
        <v>2451.8616418383499</v>
      </c>
    </row>
    <row r="13" spans="1:39" s="5" customFormat="1">
      <c r="A13" s="183"/>
      <c r="B13" s="184" t="s">
        <v>15</v>
      </c>
      <c r="C13" s="184" t="s">
        <v>70</v>
      </c>
      <c r="D13" s="185">
        <v>6</v>
      </c>
      <c r="E13" s="183">
        <v>41595</v>
      </c>
      <c r="F13" s="34">
        <f>AVERAGE(F22:F23)</f>
        <v>5.7892192068809756</v>
      </c>
      <c r="G13" s="34">
        <f>AVERAGE(G22:G23)</f>
        <v>41.848967348129705</v>
      </c>
      <c r="H13" s="34">
        <f>AVERAGE(H22:H23)</f>
        <v>2.428383701876982</v>
      </c>
      <c r="I13" s="34">
        <f>AVERAGE(I22:I23)</f>
        <v>69</v>
      </c>
      <c r="J13" s="34"/>
      <c r="K13" s="34">
        <f t="shared" ref="K13:AE13" si="11">AVERAGE(K22:K23)</f>
        <v>583.62707700461544</v>
      </c>
      <c r="L13" s="34">
        <f t="shared" si="11"/>
        <v>675.91484345343747</v>
      </c>
      <c r="M13" s="34">
        <f t="shared" si="11"/>
        <v>732.40495939776997</v>
      </c>
      <c r="N13" s="34">
        <f t="shared" si="11"/>
        <v>694.92378997595199</v>
      </c>
      <c r="O13" s="34">
        <f t="shared" si="11"/>
        <v>516.06656107146296</v>
      </c>
      <c r="P13" s="34">
        <f t="shared" si="11"/>
        <v>270.9495158047705</v>
      </c>
      <c r="Q13" s="34">
        <f t="shared" si="11"/>
        <v>144.8684909144055</v>
      </c>
      <c r="R13" s="34">
        <f t="shared" si="11"/>
        <v>99.594131104301255</v>
      </c>
      <c r="S13" s="34">
        <f t="shared" si="11"/>
        <v>71.377943661848747</v>
      </c>
      <c r="T13" s="34">
        <f t="shared" si="11"/>
        <v>64.080969141416148</v>
      </c>
      <c r="U13" s="34">
        <f t="shared" si="11"/>
        <v>56.299703261551443</v>
      </c>
      <c r="V13" s="34">
        <f t="shared" si="11"/>
        <v>241.67864632844848</v>
      </c>
      <c r="W13" s="34">
        <f t="shared" si="11"/>
        <v>5.6416975012434953</v>
      </c>
      <c r="X13" s="34" t="e">
        <f t="shared" si="11"/>
        <v>#DIV/0!</v>
      </c>
      <c r="Y13" s="34">
        <f t="shared" si="11"/>
        <v>0.22793751735046097</v>
      </c>
      <c r="Z13" s="34">
        <f t="shared" si="11"/>
        <v>0.10882584311789632</v>
      </c>
      <c r="AA13" s="34">
        <f t="shared" si="11"/>
        <v>9.0536036709333773E-2</v>
      </c>
      <c r="AB13" s="34" t="e">
        <f t="shared" si="11"/>
        <v>#DIV/0!</v>
      </c>
      <c r="AC13" s="34">
        <f t="shared" si="11"/>
        <v>3.1008817401949142E-2</v>
      </c>
      <c r="AD13" s="154">
        <f t="shared" si="4"/>
        <v>0.92870969770168332</v>
      </c>
      <c r="AE13" s="34">
        <f t="shared" si="11"/>
        <v>19.217581577680761</v>
      </c>
      <c r="AF13" s="155">
        <f t="shared" si="5"/>
        <v>8.1763731902079639E-2</v>
      </c>
      <c r="AG13" s="155"/>
      <c r="AH13" s="154"/>
      <c r="AI13" s="154"/>
      <c r="AJ13" s="154"/>
      <c r="AK13" s="154"/>
    </row>
    <row r="14" spans="1:39" s="5" customFormat="1">
      <c r="A14" s="186"/>
      <c r="B14" s="187" t="s">
        <v>10</v>
      </c>
      <c r="C14" s="187" t="s">
        <v>70</v>
      </c>
      <c r="D14" s="188">
        <v>6</v>
      </c>
      <c r="E14" s="186">
        <v>41595</v>
      </c>
      <c r="F14" s="34">
        <f>AVERAGE(F24:F25)</f>
        <v>7.2799827984016252</v>
      </c>
      <c r="G14" s="34">
        <f>AVERAGE(G24:G25)</f>
        <v>27.81636576632415</v>
      </c>
      <c r="H14" s="34">
        <f>AVERAGE(H24:H25)</f>
        <v>2.0465215889032633</v>
      </c>
      <c r="I14" s="34">
        <f>AVERAGE(I24:I25)</f>
        <v>59.5</v>
      </c>
      <c r="J14" s="34"/>
      <c r="K14" s="34">
        <f t="shared" ref="K14:AE14" si="12">AVERAGE(K24:K25)</f>
        <v>612.54298726484296</v>
      </c>
      <c r="L14" s="34">
        <f t="shared" si="12"/>
        <v>716.62670807635652</v>
      </c>
      <c r="M14" s="34">
        <f t="shared" si="12"/>
        <v>699.68832869872142</v>
      </c>
      <c r="N14" s="34">
        <f t="shared" si="12"/>
        <v>813.10625308277497</v>
      </c>
      <c r="O14" s="34">
        <f t="shared" si="12"/>
        <v>599.24512888262393</v>
      </c>
      <c r="P14" s="34">
        <f t="shared" si="12"/>
        <v>286.06677873245701</v>
      </c>
      <c r="Q14" s="34">
        <f t="shared" si="12"/>
        <v>152.4092997669475</v>
      </c>
      <c r="R14" s="34">
        <f t="shared" si="12"/>
        <v>98.865831564144258</v>
      </c>
      <c r="S14" s="34">
        <f t="shared" si="12"/>
        <v>76.07841187756955</v>
      </c>
      <c r="T14" s="34">
        <f t="shared" si="12"/>
        <v>59.014210056954397</v>
      </c>
      <c r="U14" s="34">
        <f t="shared" si="12"/>
        <v>54.101954982738604</v>
      </c>
      <c r="V14" s="34">
        <f t="shared" si="12"/>
        <v>259.74257728732601</v>
      </c>
      <c r="W14" s="34">
        <f t="shared" si="12"/>
        <v>3.4205132162007299</v>
      </c>
      <c r="X14" s="34" t="e">
        <f t="shared" si="12"/>
        <v>#DIV/0!</v>
      </c>
      <c r="Y14" s="34">
        <f t="shared" si="12"/>
        <v>0.255978847271708</v>
      </c>
      <c r="Z14" s="34">
        <f t="shared" si="12"/>
        <v>0.12882405008794875</v>
      </c>
      <c r="AA14" s="34">
        <f t="shared" si="12"/>
        <v>8.7510693987120428E-2</v>
      </c>
      <c r="AB14" s="34" t="e">
        <f t="shared" si="12"/>
        <v>#DIV/0!</v>
      </c>
      <c r="AC14" s="34">
        <f t="shared" si="12"/>
        <v>2.2231363818192802E-2</v>
      </c>
      <c r="AD14" s="154">
        <f t="shared" si="4"/>
        <v>0.9918354631420907</v>
      </c>
      <c r="AE14" s="34">
        <f t="shared" si="12"/>
        <v>19.7546111827548</v>
      </c>
      <c r="AF14" s="155">
        <f t="shared" si="5"/>
        <v>5.7487617079003864E-2</v>
      </c>
      <c r="AG14" s="155"/>
      <c r="AH14" s="154"/>
      <c r="AI14" s="154"/>
      <c r="AJ14" s="154"/>
      <c r="AK14" s="154"/>
    </row>
    <row r="15" spans="1:39" s="5" customFormat="1">
      <c r="A15" s="189"/>
      <c r="B15" s="173" t="s">
        <v>15</v>
      </c>
      <c r="C15" s="173" t="s">
        <v>11</v>
      </c>
      <c r="D15" s="173">
        <v>6</v>
      </c>
      <c r="E15" s="189">
        <v>41445</v>
      </c>
      <c r="F15" s="34">
        <f>AVERAGE(F26:F27)</f>
        <v>4.3723306571689555</v>
      </c>
      <c r="G15" s="34">
        <f>AVERAGE(G26:G27)</f>
        <v>31.251539771910551</v>
      </c>
      <c r="H15" s="34">
        <f>AVERAGE(H26:H27)</f>
        <v>1.3652007930512267</v>
      </c>
      <c r="I15" s="34">
        <f>AVERAGE(I26:I27)</f>
        <v>58</v>
      </c>
      <c r="J15" s="34"/>
      <c r="K15" s="34">
        <f t="shared" ref="K15:AE15" si="13">AVERAGE(K26:K27)</f>
        <v>1575.0346781964749</v>
      </c>
      <c r="L15" s="34">
        <f t="shared" si="13"/>
        <v>1877.069585347615</v>
      </c>
      <c r="M15" s="34">
        <f t="shared" si="13"/>
        <v>2160.3648451548802</v>
      </c>
      <c r="N15" s="34">
        <f t="shared" si="13"/>
        <v>2307.1355309125547</v>
      </c>
      <c r="O15" s="34">
        <f t="shared" si="13"/>
        <v>2088.7191184900848</v>
      </c>
      <c r="P15" s="34">
        <f t="shared" si="13"/>
        <v>1475.107089485065</v>
      </c>
      <c r="Q15" s="34">
        <f t="shared" si="13"/>
        <v>1045.6634414439361</v>
      </c>
      <c r="R15" s="34">
        <f t="shared" si="13"/>
        <v>738.29601750845541</v>
      </c>
      <c r="S15" s="34">
        <f t="shared" si="13"/>
        <v>540.62538914719096</v>
      </c>
      <c r="T15" s="34">
        <f t="shared" si="13"/>
        <v>370.44649528630498</v>
      </c>
      <c r="U15" s="34">
        <f t="shared" si="13"/>
        <v>167.96264844669986</v>
      </c>
      <c r="V15" s="34">
        <f t="shared" si="13"/>
        <v>1417.8462190972564</v>
      </c>
      <c r="W15" s="34">
        <f t="shared" si="13"/>
        <v>10.056600832063186</v>
      </c>
      <c r="X15" s="34">
        <f t="shared" si="13"/>
        <v>4.2388167388167401</v>
      </c>
      <c r="Y15" s="34">
        <f t="shared" si="13"/>
        <v>0.60537065196275097</v>
      </c>
      <c r="Z15" s="34">
        <f t="shared" si="13"/>
        <v>0.30087645835739851</v>
      </c>
      <c r="AA15" s="34">
        <f t="shared" si="13"/>
        <v>0.15769504398972845</v>
      </c>
      <c r="AB15" s="34">
        <f t="shared" si="13"/>
        <v>7.1621938706302513E-2</v>
      </c>
      <c r="AC15" s="34">
        <f t="shared" si="13"/>
        <v>3.778773912952943E-2</v>
      </c>
      <c r="AD15" s="154">
        <f t="shared" si="4"/>
        <v>6.3870085394190514</v>
      </c>
      <c r="AE15" s="34">
        <f t="shared" si="13"/>
        <v>46.433912416799295</v>
      </c>
      <c r="AF15" s="155">
        <f t="shared" si="5"/>
        <v>0.17338966951833079</v>
      </c>
      <c r="AG15" s="155"/>
      <c r="AH15" s="154"/>
      <c r="AI15" s="154"/>
      <c r="AJ15" s="154"/>
      <c r="AK15" s="154"/>
    </row>
    <row r="16" spans="1:39">
      <c r="A16" s="167"/>
      <c r="B16" s="156" t="s">
        <v>15</v>
      </c>
      <c r="C16" s="190" t="s">
        <v>11</v>
      </c>
      <c r="D16" s="190">
        <v>6</v>
      </c>
      <c r="E16" s="191">
        <v>41390</v>
      </c>
      <c r="F16" s="34">
        <f>AVERAGE(F28:F29)</f>
        <v>8.4078943620455444</v>
      </c>
      <c r="G16" s="34">
        <f>AVERAGE(G28:G29)</f>
        <v>48.838158810867448</v>
      </c>
      <c r="H16" s="34">
        <f>AVERAGE(H28:H29)</f>
        <v>3.2110119620702893</v>
      </c>
      <c r="I16" s="34">
        <f>AVERAGE(I28:I29)</f>
        <v>56.5</v>
      </c>
      <c r="J16" s="34"/>
      <c r="K16" s="34">
        <f t="shared" ref="K16:AE16" si="14">AVERAGE(K28:K29)</f>
        <v>260.10563134769097</v>
      </c>
      <c r="L16" s="34">
        <f t="shared" si="14"/>
        <v>388.1892190710285</v>
      </c>
      <c r="M16" s="34">
        <f t="shared" si="14"/>
        <v>515.0948682133785</v>
      </c>
      <c r="N16" s="34">
        <f t="shared" si="14"/>
        <v>678.77224948201547</v>
      </c>
      <c r="O16" s="34">
        <f t="shared" si="14"/>
        <v>757.83494473017697</v>
      </c>
      <c r="P16" s="34">
        <f t="shared" si="14"/>
        <v>621.89667438594392</v>
      </c>
      <c r="Q16" s="34">
        <f t="shared" si="14"/>
        <v>474.22246716874548</v>
      </c>
      <c r="R16" s="34">
        <f t="shared" si="14"/>
        <v>331.263830457305</v>
      </c>
      <c r="S16" s="34">
        <f t="shared" si="14"/>
        <v>240.7748165151215</v>
      </c>
      <c r="T16" s="34">
        <f t="shared" si="14"/>
        <v>183.97267327796752</v>
      </c>
      <c r="U16" s="34">
        <f t="shared" si="14"/>
        <v>120.21840592952074</v>
      </c>
      <c r="V16" s="34">
        <f t="shared" si="14"/>
        <v>445.2127374649375</v>
      </c>
      <c r="W16" s="34">
        <f t="shared" si="14"/>
        <v>1.3737176133085349</v>
      </c>
      <c r="X16" s="34">
        <f t="shared" si="14"/>
        <v>1.776266061980345</v>
      </c>
      <c r="Y16" s="34">
        <f t="shared" si="14"/>
        <v>0.20856436796813949</v>
      </c>
      <c r="Z16" s="34">
        <f t="shared" si="14"/>
        <v>0.32637757112879351</v>
      </c>
      <c r="AA16" s="34">
        <f t="shared" si="14"/>
        <v>0.2327925668343159</v>
      </c>
      <c r="AB16" s="34">
        <f t="shared" si="14"/>
        <v>0.15570725218098402</v>
      </c>
      <c r="AC16" s="34">
        <f t="shared" si="14"/>
        <v>2.5317087545069866E-2</v>
      </c>
      <c r="AD16" s="154">
        <f t="shared" si="4"/>
        <v>3.2561535093445579</v>
      </c>
      <c r="AE16" s="34">
        <f t="shared" si="14"/>
        <v>131.22776703681467</v>
      </c>
      <c r="AF16" s="155">
        <f t="shared" si="5"/>
        <v>2.4313586076257256E-2</v>
      </c>
    </row>
    <row r="17" spans="1:38" s="196" customFormat="1">
      <c r="A17" s="192"/>
      <c r="B17" s="193" t="s">
        <v>10</v>
      </c>
      <c r="C17" s="194" t="s">
        <v>11</v>
      </c>
      <c r="D17" s="194">
        <v>6</v>
      </c>
      <c r="E17" s="195">
        <v>41390</v>
      </c>
      <c r="F17" s="34">
        <f>AVERAGE(F32:F33)</f>
        <v>5.5312484445994903</v>
      </c>
      <c r="G17" s="34">
        <f>AVERAGE(G32:G33)</f>
        <v>50.897978299737005</v>
      </c>
      <c r="H17" s="34">
        <f>AVERAGE(H32:H33)</f>
        <v>2.8260243839839103</v>
      </c>
      <c r="I17" s="34">
        <f>AVERAGE(I32:I33)</f>
        <v>97.5</v>
      </c>
      <c r="J17" s="34"/>
      <c r="K17" s="34">
        <f t="shared" ref="K17:AE17" si="15">AVERAGE(K32:K33)</f>
        <v>1068.417164575571</v>
      </c>
      <c r="L17" s="34">
        <f t="shared" si="15"/>
        <v>1214.893377732519</v>
      </c>
      <c r="M17" s="34">
        <f t="shared" si="15"/>
        <v>1294.9839483024646</v>
      </c>
      <c r="N17" s="34">
        <f t="shared" si="15"/>
        <v>1218.098946152048</v>
      </c>
      <c r="O17" s="34">
        <f t="shared" si="15"/>
        <v>911.17423215717542</v>
      </c>
      <c r="P17" s="34">
        <f t="shared" si="15"/>
        <v>510.80065727706</v>
      </c>
      <c r="Q17" s="34">
        <f t="shared" si="15"/>
        <v>307.33555500764146</v>
      </c>
      <c r="R17" s="34">
        <f t="shared" si="15"/>
        <v>198.40393096957999</v>
      </c>
      <c r="S17" s="34">
        <f t="shared" si="15"/>
        <v>127.84006472224645</v>
      </c>
      <c r="T17" s="34">
        <f t="shared" si="15"/>
        <v>100.35831167309004</v>
      </c>
      <c r="U17" s="34">
        <f t="shared" si="15"/>
        <v>79.182296607170542</v>
      </c>
      <c r="V17" s="34">
        <f t="shared" si="15"/>
        <v>695.2306188569396</v>
      </c>
      <c r="W17" s="34">
        <f t="shared" si="15"/>
        <v>11.785095772987521</v>
      </c>
      <c r="X17" s="34">
        <f t="shared" si="15"/>
        <v>7.3076923076923102</v>
      </c>
      <c r="Y17" s="34">
        <f t="shared" si="15"/>
        <v>0.35151731717371498</v>
      </c>
      <c r="Z17" s="34">
        <f t="shared" si="15"/>
        <v>0.28360894717859753</v>
      </c>
      <c r="AA17" s="34">
        <f t="shared" si="15"/>
        <v>7.7060456484266154E-2</v>
      </c>
      <c r="AB17" s="34">
        <f t="shared" si="15"/>
        <v>6.2094035910781151E-2</v>
      </c>
      <c r="AC17" s="34">
        <f t="shared" si="15"/>
        <v>4.1107007778564339E-2</v>
      </c>
      <c r="AD17" s="154">
        <f t="shared" si="4"/>
        <v>1.0293160171598978</v>
      </c>
      <c r="AE17" s="34">
        <f t="shared" si="15"/>
        <v>8.7601691413527192</v>
      </c>
      <c r="AF17" s="155">
        <f t="shared" si="5"/>
        <v>0.12087277715884637</v>
      </c>
      <c r="AG17" s="154"/>
      <c r="AH17" s="154"/>
      <c r="AI17" s="154"/>
      <c r="AJ17" s="154"/>
      <c r="AK17" s="154"/>
    </row>
    <row r="18" spans="1:38" s="48" customFormat="1">
      <c r="A18" s="197"/>
      <c r="B18" s="198" t="s">
        <v>10</v>
      </c>
      <c r="C18" s="198" t="s">
        <v>11</v>
      </c>
      <c r="D18" s="198">
        <v>6</v>
      </c>
      <c r="E18" s="199">
        <v>41411</v>
      </c>
      <c r="F18" s="200">
        <f>AVERAGE(F30:F31)</f>
        <v>4.085590882563535</v>
      </c>
      <c r="G18" s="200">
        <f>AVERAGE(G30:G31)</f>
        <v>57.938413364635252</v>
      </c>
      <c r="H18" s="200">
        <f>AVERAGE(H30:H31)</f>
        <v>1.9638230178143319</v>
      </c>
      <c r="I18" s="200">
        <f>AVERAGE(I30:I31)</f>
        <v>57.5</v>
      </c>
      <c r="J18" s="200"/>
      <c r="K18" s="200">
        <f t="shared" ref="K18:AE18" si="16">AVERAGE(K30:K31)</f>
        <v>140.79986268025948</v>
      </c>
      <c r="L18" s="200">
        <f t="shared" si="16"/>
        <v>161.9371171121465</v>
      </c>
      <c r="M18" s="200">
        <f t="shared" si="16"/>
        <v>240.55372857972449</v>
      </c>
      <c r="N18" s="200">
        <f t="shared" si="16"/>
        <v>617.78484753870498</v>
      </c>
      <c r="O18" s="200">
        <f t="shared" si="16"/>
        <v>810.31182522455049</v>
      </c>
      <c r="P18" s="200">
        <f t="shared" si="16"/>
        <v>830.87401408283949</v>
      </c>
      <c r="Q18" s="200">
        <f t="shared" si="16"/>
        <v>727.14941467498147</v>
      </c>
      <c r="R18" s="200">
        <f t="shared" si="16"/>
        <v>599.15822113318802</v>
      </c>
      <c r="S18" s="200">
        <f t="shared" si="16"/>
        <v>244.3965144109595</v>
      </c>
      <c r="T18" s="200">
        <f t="shared" si="16"/>
        <v>272.10633246732107</v>
      </c>
      <c r="U18" s="200">
        <f t="shared" si="16"/>
        <v>161.97125455014864</v>
      </c>
      <c r="V18" s="200">
        <f t="shared" si="16"/>
        <v>464.50718779046758</v>
      </c>
      <c r="W18" s="200">
        <f t="shared" si="16"/>
        <v>0.96740587492192798</v>
      </c>
      <c r="X18" s="200">
        <f t="shared" si="16"/>
        <v>1.3665702951657379</v>
      </c>
      <c r="Y18" s="200">
        <f t="shared" si="16"/>
        <v>0.25372906259330896</v>
      </c>
      <c r="Z18" s="200">
        <f t="shared" si="16"/>
        <v>0.3595542807838415</v>
      </c>
      <c r="AA18" s="200">
        <f t="shared" si="16"/>
        <v>0.27728512288700041</v>
      </c>
      <c r="AB18" s="200">
        <f t="shared" si="16"/>
        <v>0.20985439668211719</v>
      </c>
      <c r="AC18" s="200">
        <f t="shared" si="16"/>
        <v>2.1532944270246338E-2</v>
      </c>
      <c r="AD18" s="154">
        <f t="shared" si="4"/>
        <v>4.7322840429099315</v>
      </c>
      <c r="AE18" s="200">
        <f t="shared" si="16"/>
        <v>231.507148593534</v>
      </c>
    </row>
    <row r="19" spans="1:38" s="11" customFormat="1">
      <c r="A19" s="201">
        <v>41778</v>
      </c>
      <c r="B19" s="75" t="s">
        <v>10</v>
      </c>
      <c r="C19" s="75" t="s">
        <v>11</v>
      </c>
      <c r="D19" s="75">
        <v>6</v>
      </c>
      <c r="E19" s="202">
        <v>41775</v>
      </c>
      <c r="F19" s="127">
        <v>10.810653993892</v>
      </c>
      <c r="G19" s="75">
        <v>12.6866547541605</v>
      </c>
      <c r="H19" s="203"/>
      <c r="I19" s="75">
        <v>65</v>
      </c>
      <c r="J19" s="204" t="s">
        <v>164</v>
      </c>
      <c r="K19" s="75">
        <v>72.183407992036393</v>
      </c>
      <c r="L19" s="75">
        <v>81.216739404085601</v>
      </c>
      <c r="M19" s="75">
        <v>101.74925699875</v>
      </c>
      <c r="N19" s="75">
        <v>112.06817055165099</v>
      </c>
      <c r="O19" s="75">
        <v>119.665285424402</v>
      </c>
      <c r="P19" s="75">
        <v>118.126045275794</v>
      </c>
      <c r="Q19" s="75">
        <v>100.619735748389</v>
      </c>
      <c r="R19" s="75">
        <v>98.111314160094693</v>
      </c>
      <c r="S19" s="75">
        <v>78.5810209092202</v>
      </c>
      <c r="T19" s="75">
        <v>65.181053245881003</v>
      </c>
      <c r="U19" s="75">
        <v>62.5647917904693</v>
      </c>
      <c r="V19" s="205">
        <f>AVERAGE(K19:T19)</f>
        <v>94.75020297103039</v>
      </c>
      <c r="W19" s="75">
        <v>0.231731874174431</v>
      </c>
      <c r="X19" s="75"/>
      <c r="Y19" s="75">
        <v>3.5054514905044798E-2</v>
      </c>
      <c r="Z19" s="75"/>
      <c r="AA19" s="205">
        <f>T19/MAX(F19:U19)</f>
        <v>0.54469475432838743</v>
      </c>
      <c r="AB19" s="75"/>
      <c r="AC19" s="127"/>
      <c r="AD19" s="127"/>
      <c r="AE19" s="127">
        <v>406.73866055953903</v>
      </c>
      <c r="AF19" s="206"/>
      <c r="AG19" s="82"/>
      <c r="AH19" s="10"/>
      <c r="AI19" s="10"/>
      <c r="AJ19" s="10"/>
    </row>
    <row r="20" spans="1:38" s="208" customFormat="1">
      <c r="A20" s="207">
        <v>41414</v>
      </c>
      <c r="B20" s="208" t="s">
        <v>15</v>
      </c>
      <c r="C20" s="208" t="s">
        <v>12</v>
      </c>
      <c r="D20" s="208">
        <v>10</v>
      </c>
      <c r="E20" s="209">
        <v>41411</v>
      </c>
      <c r="F20" s="210"/>
      <c r="G20" s="211">
        <v>21.199173753946599</v>
      </c>
      <c r="H20" s="212">
        <f>F20*G20/100</f>
        <v>0</v>
      </c>
      <c r="I20" s="213">
        <v>52</v>
      </c>
      <c r="J20" s="208" t="s">
        <v>38</v>
      </c>
      <c r="K20" s="213">
        <v>1347.14890169247</v>
      </c>
      <c r="L20" s="214">
        <v>1742.55533327999</v>
      </c>
      <c r="M20" s="213">
        <v>1887.6065055613301</v>
      </c>
      <c r="N20" s="213">
        <v>1936.8378010722599</v>
      </c>
      <c r="O20" s="215">
        <v>1852.92338161159</v>
      </c>
      <c r="P20" s="215">
        <v>1499.2790269664699</v>
      </c>
      <c r="Q20" s="215">
        <v>1271.2311754821201</v>
      </c>
      <c r="R20" s="215">
        <v>1112.3262978893699</v>
      </c>
      <c r="S20" s="215">
        <v>1057.5889413459199</v>
      </c>
      <c r="T20" s="216">
        <v>1052.03831149345</v>
      </c>
      <c r="U20" s="208">
        <v>906.34135211944101</v>
      </c>
      <c r="V20" s="217">
        <f>AVERAGE(K20:T20)</f>
        <v>1475.9535676394969</v>
      </c>
      <c r="W20" s="208">
        <v>8.3189303028772006</v>
      </c>
      <c r="X20" s="208">
        <v>5.4347826086956497</v>
      </c>
      <c r="Y20" s="208">
        <v>0.205678123204945</v>
      </c>
      <c r="Z20" s="208">
        <v>0.29429075927015902</v>
      </c>
      <c r="AA20" s="217">
        <f>T20/MAX(K20:U20)</f>
        <v>0.54317316138244887</v>
      </c>
      <c r="AB20" s="208">
        <f>U10/MAX(K10:U10)</f>
        <v>9.3185369499291917E-2</v>
      </c>
      <c r="AC20" s="218">
        <f>AA20/AJ20</f>
        <v>0.13997929003964582</v>
      </c>
      <c r="AD20" s="218">
        <f>N20/W20</f>
        <v>232.82293883414093</v>
      </c>
      <c r="AE20" s="219">
        <v>105.111939743034</v>
      </c>
      <c r="AG20" s="220">
        <f>AE20/I20</f>
        <v>2.0213834565968076</v>
      </c>
      <c r="AH20" s="218">
        <f>Y20/W20</f>
        <v>2.4724107032584319E-2</v>
      </c>
      <c r="AI20" s="218">
        <f>(W20*60/MAX(K20:U20))</f>
        <v>0.2577065657724687</v>
      </c>
      <c r="AJ20" s="218">
        <f>1/AI20</f>
        <v>3.880382313902349</v>
      </c>
      <c r="AK20" s="218">
        <f>MAX(K20:U20)</f>
        <v>1936.8378010722599</v>
      </c>
    </row>
    <row r="21" spans="1:38">
      <c r="A21" s="48" t="s">
        <v>165</v>
      </c>
      <c r="I21" s="5"/>
      <c r="N21" s="5"/>
      <c r="O21" s="5"/>
      <c r="P21" s="5"/>
      <c r="Q21" s="5"/>
      <c r="R21" s="5"/>
      <c r="T21" s="5"/>
      <c r="U21" s="5"/>
      <c r="V21" s="5"/>
      <c r="W21" s="5"/>
    </row>
    <row r="22" spans="1:38" s="225" customFormat="1">
      <c r="A22" s="221">
        <v>41599</v>
      </c>
      <c r="B22" s="222" t="s">
        <v>15</v>
      </c>
      <c r="C22" s="222" t="s">
        <v>70</v>
      </c>
      <c r="D22" s="223">
        <v>6</v>
      </c>
      <c r="E22" s="224">
        <v>41595</v>
      </c>
      <c r="F22" s="47">
        <v>5.7218315442144201</v>
      </c>
      <c r="G22" s="47">
        <v>33.456858089655199</v>
      </c>
      <c r="H22" s="33">
        <f t="shared" ref="H22:H33" si="17">F22*G22/100</f>
        <v>1.9143450598769454</v>
      </c>
      <c r="I22" s="153">
        <v>76</v>
      </c>
      <c r="J22" s="153"/>
      <c r="K22" s="225">
        <v>254.06324467148099</v>
      </c>
      <c r="L22" s="225">
        <v>328.070828398635</v>
      </c>
      <c r="M22" s="225">
        <v>432.68758313614001</v>
      </c>
      <c r="N22" s="225">
        <v>492.48403491945697</v>
      </c>
      <c r="O22" s="225">
        <v>417.54228340171699</v>
      </c>
      <c r="P22" s="225">
        <v>201.256987004423</v>
      </c>
      <c r="Q22" s="225">
        <v>103.362784220252</v>
      </c>
      <c r="R22" s="225">
        <v>75.005582974980499</v>
      </c>
      <c r="S22" s="225">
        <v>58.718144235186003</v>
      </c>
      <c r="T22" s="225">
        <v>53.594990322213398</v>
      </c>
      <c r="U22" s="225">
        <v>48.223919915700698</v>
      </c>
      <c r="V22" s="153">
        <f>AVERAGE(K22:T22)</f>
        <v>241.67864632844848</v>
      </c>
      <c r="W22" s="225">
        <v>1.6149304873052901</v>
      </c>
      <c r="Y22" s="154">
        <v>0.163890638809956</v>
      </c>
      <c r="Z22" s="152">
        <f>T22/MAX(K22:U22)</f>
        <v>0.10882584311789632</v>
      </c>
      <c r="AA22" s="152">
        <f t="shared" ref="AA22:AA33" si="18">T22/MAX(K22:U22)</f>
        <v>0.10882584311789632</v>
      </c>
      <c r="AC22" s="154">
        <f t="shared" ref="AC22:AC33" si="19">AA22/AJ22</f>
        <v>2.1411395220541796E-2</v>
      </c>
      <c r="AD22" s="154">
        <f t="shared" ref="AD22:AD33" si="20">N22/W22</f>
        <v>304.9568007978022</v>
      </c>
      <c r="AE22" s="152">
        <v>30.875490968013199</v>
      </c>
      <c r="AF22" s="226"/>
      <c r="AG22" s="155">
        <f t="shared" ref="AG22:AG33" si="21">AE22/I22</f>
        <v>0.40625646010543681</v>
      </c>
      <c r="AH22" s="154">
        <f t="shared" ref="AH22:AH33" si="22">Y22/W22</f>
        <v>0.10148463980231599</v>
      </c>
      <c r="AI22" s="154">
        <f t="shared" ref="AI22:AI33" si="23">(W22*60/MAX(K22:U22))</f>
        <v>0.19674917838537481</v>
      </c>
      <c r="AJ22" s="154">
        <f t="shared" ref="AJ22:AJ33" si="24">1/AI22</f>
        <v>5.0826133466300369</v>
      </c>
    </row>
    <row r="23" spans="1:38" s="153" customFormat="1">
      <c r="A23" s="227">
        <v>41605</v>
      </c>
      <c r="B23" s="153" t="s">
        <v>15</v>
      </c>
      <c r="C23" s="152" t="s">
        <v>84</v>
      </c>
      <c r="D23" s="152">
        <v>10</v>
      </c>
      <c r="E23" s="224">
        <v>41595</v>
      </c>
      <c r="F23" s="153">
        <v>5.8566068695475302</v>
      </c>
      <c r="G23" s="153">
        <v>50.241076606604203</v>
      </c>
      <c r="H23" s="33">
        <f t="shared" si="17"/>
        <v>2.942422343877019</v>
      </c>
      <c r="I23" s="153">
        <v>62</v>
      </c>
      <c r="K23" s="153">
        <v>913.19090933774999</v>
      </c>
      <c r="L23" s="153">
        <v>1023.75885850824</v>
      </c>
      <c r="M23" s="153">
        <v>1032.1223356594001</v>
      </c>
      <c r="N23" s="153">
        <v>897.36354503244695</v>
      </c>
      <c r="O23" s="153">
        <v>614.59083874120904</v>
      </c>
      <c r="P23" s="153">
        <v>340.64204460511797</v>
      </c>
      <c r="Q23" s="153">
        <v>186.374197608559</v>
      </c>
      <c r="R23" s="153">
        <v>124.182679233622</v>
      </c>
      <c r="S23" s="153">
        <v>84.037743088511505</v>
      </c>
      <c r="T23" s="153">
        <v>74.566947960618904</v>
      </c>
      <c r="U23" s="153">
        <v>64.375486607402195</v>
      </c>
      <c r="W23" s="153">
        <v>9.6684645151817001</v>
      </c>
      <c r="Y23" s="228">
        <v>0.29198439589096598</v>
      </c>
      <c r="Z23" s="152"/>
      <c r="AA23" s="152">
        <f t="shared" si="18"/>
        <v>7.2246230300771208E-2</v>
      </c>
      <c r="AC23" s="154">
        <f t="shared" si="19"/>
        <v>4.0606239583356483E-2</v>
      </c>
      <c r="AD23" s="154">
        <f t="shared" si="20"/>
        <v>92.813449707901498</v>
      </c>
      <c r="AE23" s="153">
        <v>7.5596721873483199</v>
      </c>
      <c r="AF23" s="228"/>
      <c r="AG23" s="155">
        <f t="shared" si="21"/>
        <v>0.12193019657013419</v>
      </c>
      <c r="AH23" s="154">
        <f t="shared" si="22"/>
        <v>3.0199665668988462E-2</v>
      </c>
      <c r="AI23" s="154">
        <f t="shared" si="23"/>
        <v>0.56205340284616934</v>
      </c>
      <c r="AJ23" s="229">
        <f t="shared" si="24"/>
        <v>1.7791903668514824</v>
      </c>
    </row>
    <row r="24" spans="1:38" s="153" customFormat="1">
      <c r="A24" s="230">
        <v>41599</v>
      </c>
      <c r="B24" s="222" t="s">
        <v>10</v>
      </c>
      <c r="C24" s="222" t="s">
        <v>70</v>
      </c>
      <c r="D24" s="223">
        <v>6</v>
      </c>
      <c r="E24" s="224">
        <v>41595</v>
      </c>
      <c r="F24" s="153">
        <v>7.6640242883995802</v>
      </c>
      <c r="G24" s="47">
        <v>33.4134032047793</v>
      </c>
      <c r="H24" s="33">
        <f t="shared" si="17"/>
        <v>2.5608113371951693</v>
      </c>
      <c r="I24" s="153">
        <v>60</v>
      </c>
      <c r="K24" s="153">
        <v>322.77281717572799</v>
      </c>
      <c r="L24" s="153">
        <v>435.91866302823797</v>
      </c>
      <c r="M24" s="153">
        <v>318.60234814451297</v>
      </c>
      <c r="N24" s="153">
        <v>519.22350954689</v>
      </c>
      <c r="O24" s="153">
        <v>427.27047036029001</v>
      </c>
      <c r="P24" s="153">
        <v>213.78637967591101</v>
      </c>
      <c r="Q24" s="153">
        <v>122.31676661111</v>
      </c>
      <c r="R24" s="153">
        <v>93.029120996116504</v>
      </c>
      <c r="S24" s="153">
        <v>77.617221933754394</v>
      </c>
      <c r="T24" s="173">
        <v>66.888475400709098</v>
      </c>
      <c r="U24" s="153">
        <v>61.549116178653399</v>
      </c>
      <c r="V24" s="153">
        <f>AVERAGE(K24:T24)</f>
        <v>259.74257728732601</v>
      </c>
      <c r="W24" s="153">
        <v>2.2073858121706902</v>
      </c>
      <c r="Y24" s="153">
        <v>0.16225031595131201</v>
      </c>
      <c r="Z24" s="152">
        <f>T24/MAX(K24:U24)</f>
        <v>0.12882405008794875</v>
      </c>
      <c r="AA24" s="152">
        <f t="shared" si="18"/>
        <v>0.12882405008794875</v>
      </c>
      <c r="AC24" s="154">
        <f t="shared" si="19"/>
        <v>3.2860343401475818E-2</v>
      </c>
      <c r="AD24" s="154">
        <f t="shared" si="20"/>
        <v>235.2210051745771</v>
      </c>
      <c r="AE24" s="153">
        <v>28.922762935912399</v>
      </c>
      <c r="AF24" s="228"/>
      <c r="AG24" s="155">
        <f t="shared" si="21"/>
        <v>0.48204604893187331</v>
      </c>
      <c r="AH24" s="154">
        <f t="shared" si="22"/>
        <v>7.3503379000048455E-2</v>
      </c>
      <c r="AI24" s="154">
        <f t="shared" si="23"/>
        <v>0.25507926027043798</v>
      </c>
      <c r="AJ24" s="154">
        <f t="shared" si="24"/>
        <v>3.9203500862429523</v>
      </c>
    </row>
    <row r="25" spans="1:38" s="232" customFormat="1" ht="15" thickBot="1">
      <c r="A25" s="231">
        <v>41605</v>
      </c>
      <c r="B25" s="232" t="s">
        <v>10</v>
      </c>
      <c r="C25" s="181" t="s">
        <v>84</v>
      </c>
      <c r="D25" s="181">
        <v>10</v>
      </c>
      <c r="E25" s="233">
        <v>41595</v>
      </c>
      <c r="F25" s="232">
        <v>6.8959413084036703</v>
      </c>
      <c r="G25" s="232">
        <v>22.219328327869</v>
      </c>
      <c r="H25" s="33">
        <f t="shared" si="17"/>
        <v>1.5322318406113569</v>
      </c>
      <c r="I25" s="232">
        <v>59</v>
      </c>
      <c r="K25" s="232">
        <v>902.31315735395799</v>
      </c>
      <c r="L25" s="232">
        <v>997.33475312447501</v>
      </c>
      <c r="M25" s="234">
        <v>1080.7743092529299</v>
      </c>
      <c r="N25" s="232">
        <v>1106.9889966186599</v>
      </c>
      <c r="O25" s="232">
        <v>771.21978740495797</v>
      </c>
      <c r="P25" s="232">
        <v>358.34717778900301</v>
      </c>
      <c r="Q25" s="232">
        <v>182.50183292278501</v>
      </c>
      <c r="R25" s="232">
        <v>104.702542132172</v>
      </c>
      <c r="S25" s="232">
        <v>74.539601821384693</v>
      </c>
      <c r="T25" s="232">
        <v>51.139944713199696</v>
      </c>
      <c r="U25" s="232">
        <v>46.654793786823802</v>
      </c>
      <c r="W25" s="232">
        <v>4.6336406202307696</v>
      </c>
      <c r="Y25" s="235">
        <v>0.34970737859210399</v>
      </c>
      <c r="Z25" s="181"/>
      <c r="AA25" s="181">
        <f t="shared" si="18"/>
        <v>4.61973378862921E-2</v>
      </c>
      <c r="AC25" s="154">
        <f t="shared" si="19"/>
        <v>1.1602384234909783E-2</v>
      </c>
      <c r="AD25" s="154">
        <f t="shared" si="20"/>
        <v>238.90264423733589</v>
      </c>
      <c r="AE25" s="232">
        <v>10.5864594295972</v>
      </c>
      <c r="AF25" s="235"/>
      <c r="AG25" s="155">
        <f t="shared" si="21"/>
        <v>0.17943151575588476</v>
      </c>
      <c r="AH25" s="154">
        <f t="shared" si="22"/>
        <v>7.5471407313130706E-2</v>
      </c>
      <c r="AI25" s="154">
        <f t="shared" si="23"/>
        <v>0.2511483294441626</v>
      </c>
      <c r="AJ25" s="154">
        <f t="shared" si="24"/>
        <v>3.9817107372889309</v>
      </c>
    </row>
    <row r="26" spans="1:38" s="5" customFormat="1">
      <c r="A26" s="236">
        <v>41452</v>
      </c>
      <c r="B26" s="5" t="s">
        <v>15</v>
      </c>
      <c r="C26" s="5" t="s">
        <v>11</v>
      </c>
      <c r="D26" s="5">
        <v>6</v>
      </c>
      <c r="E26" s="19">
        <v>41445</v>
      </c>
      <c r="F26" s="34">
        <v>5.17499281762196</v>
      </c>
      <c r="G26" s="5">
        <v>31.099562851424</v>
      </c>
      <c r="H26" s="33">
        <f t="shared" si="17"/>
        <v>1.6094001438730192</v>
      </c>
      <c r="I26" s="5">
        <v>64</v>
      </c>
      <c r="K26" s="5">
        <v>1957.2034802784201</v>
      </c>
      <c r="L26" s="5">
        <v>2136.9623279195698</v>
      </c>
      <c r="M26" s="5">
        <v>2341.2379350348001</v>
      </c>
      <c r="N26" s="5">
        <v>2259.5489249806701</v>
      </c>
      <c r="O26" s="5">
        <v>1896.38255220418</v>
      </c>
      <c r="P26" s="5">
        <v>1252.1345630317101</v>
      </c>
      <c r="Q26" s="5">
        <v>875.04362016427206</v>
      </c>
      <c r="R26" s="5">
        <v>613.62383730828196</v>
      </c>
      <c r="S26" s="5">
        <v>456.560861932357</v>
      </c>
      <c r="T26" s="5">
        <v>306.11198926933503</v>
      </c>
      <c r="U26" s="5">
        <v>238.60549141592401</v>
      </c>
      <c r="V26" s="153">
        <f t="shared" ref="V26:V33" si="25">AVERAGE(K26:T26)</f>
        <v>1409.4810092123596</v>
      </c>
      <c r="W26" s="5">
        <v>14.0711431057341</v>
      </c>
      <c r="X26" s="5">
        <v>5.9523809523809499</v>
      </c>
      <c r="Y26" s="5">
        <v>0.58856977914293496</v>
      </c>
      <c r="Z26" s="5">
        <v>0.28409090909090901</v>
      </c>
      <c r="AA26" s="152">
        <f t="shared" si="18"/>
        <v>0.1307479195892941</v>
      </c>
      <c r="AB26" s="1">
        <f t="shared" ref="AB26:AB33" si="26">U26/MAX(K26:U26)</f>
        <v>0.10191424282230306</v>
      </c>
      <c r="AC26" s="154">
        <f t="shared" si="19"/>
        <v>4.7148715466818855E-2</v>
      </c>
      <c r="AD26" s="154">
        <f t="shared" si="20"/>
        <v>160.58033864070975</v>
      </c>
      <c r="AE26" s="237">
        <v>21.443220328276698</v>
      </c>
      <c r="AF26" s="154">
        <f>(T26*I26)/W26</f>
        <v>1392.2939427184056</v>
      </c>
      <c r="AG26" s="155">
        <f t="shared" si="21"/>
        <v>0.33505031762932341</v>
      </c>
      <c r="AH26" s="154">
        <f t="shared" si="22"/>
        <v>4.1828142512678176E-2</v>
      </c>
      <c r="AI26" s="154">
        <f t="shared" si="23"/>
        <v>0.36060776810004008</v>
      </c>
      <c r="AJ26" s="154">
        <f t="shared" si="24"/>
        <v>2.7730961129006495</v>
      </c>
      <c r="AK26" s="154">
        <f t="shared" ref="AK26:AK33" si="27">MAX(K26:U26)</f>
        <v>2341.2379350348001</v>
      </c>
      <c r="AL26" s="5">
        <f>AVERAGE(AA8:AA12)</f>
        <v>9.6598947291973256E-2</v>
      </c>
    </row>
    <row r="27" spans="1:38" s="11" customFormat="1">
      <c r="A27" s="238">
        <v>41453</v>
      </c>
      <c r="B27" s="5" t="s">
        <v>15</v>
      </c>
      <c r="C27" s="5" t="s">
        <v>12</v>
      </c>
      <c r="D27" s="5">
        <v>10</v>
      </c>
      <c r="E27" s="14">
        <v>41445</v>
      </c>
      <c r="F27" s="35">
        <v>3.5696684967159502</v>
      </c>
      <c r="G27" s="5">
        <v>31.403516692397101</v>
      </c>
      <c r="H27" s="33">
        <f t="shared" si="17"/>
        <v>1.1210014422294341</v>
      </c>
      <c r="I27" s="5">
        <v>52</v>
      </c>
      <c r="J27" s="5"/>
      <c r="K27" s="5">
        <v>1192.86587611453</v>
      </c>
      <c r="L27" s="5">
        <v>1617.1768427756599</v>
      </c>
      <c r="M27" s="239">
        <v>1979.49175527496</v>
      </c>
      <c r="N27" s="5">
        <v>2354.7221368444398</v>
      </c>
      <c r="O27" s="5">
        <v>2281.0556847759899</v>
      </c>
      <c r="P27" s="5">
        <v>1698.0796159384199</v>
      </c>
      <c r="Q27" s="5">
        <v>1216.2832627236</v>
      </c>
      <c r="R27" s="5">
        <v>862.96819770862896</v>
      </c>
      <c r="S27" s="5">
        <v>624.68991636202497</v>
      </c>
      <c r="T27" s="5">
        <v>434.78100130327499</v>
      </c>
      <c r="U27" s="5">
        <v>97.319805477475697</v>
      </c>
      <c r="V27" s="153">
        <f t="shared" si="25"/>
        <v>1426.2114289821532</v>
      </c>
      <c r="W27" s="5">
        <v>6.0420585583922701</v>
      </c>
      <c r="X27" s="5">
        <v>2.52525252525253</v>
      </c>
      <c r="Y27" s="5">
        <v>0.62217152478256699</v>
      </c>
      <c r="Z27" s="5">
        <v>0.31766200762388802</v>
      </c>
      <c r="AA27" s="152">
        <f t="shared" si="18"/>
        <v>0.18464216839016279</v>
      </c>
      <c r="AB27" s="1">
        <f t="shared" si="26"/>
        <v>4.1329634590301957E-2</v>
      </c>
      <c r="AC27" s="154">
        <f t="shared" si="19"/>
        <v>2.8426762792240004E-2</v>
      </c>
      <c r="AD27" s="154">
        <f t="shared" si="20"/>
        <v>389.72183306197667</v>
      </c>
      <c r="AE27" s="157">
        <v>71.424604505321895</v>
      </c>
      <c r="AF27" s="154">
        <f>(T27*I27)/W27/100</f>
        <v>37.418723849287254</v>
      </c>
      <c r="AG27" s="155">
        <f t="shared" si="21"/>
        <v>1.3735500866408057</v>
      </c>
      <c r="AH27" s="154">
        <f t="shared" si="22"/>
        <v>0.10297343509165202</v>
      </c>
      <c r="AI27" s="154">
        <f t="shared" si="23"/>
        <v>0.15395596271471484</v>
      </c>
      <c r="AJ27" s="229">
        <f t="shared" si="24"/>
        <v>6.4953638843662773</v>
      </c>
      <c r="AK27" s="154">
        <f t="shared" si="27"/>
        <v>2354.7221368444398</v>
      </c>
    </row>
    <row r="28" spans="1:38" s="11" customFormat="1">
      <c r="A28" s="240">
        <v>41398</v>
      </c>
      <c r="B28" s="13" t="s">
        <v>15</v>
      </c>
      <c r="C28" s="1" t="s">
        <v>11</v>
      </c>
      <c r="D28" s="1">
        <v>6</v>
      </c>
      <c r="E28" s="30">
        <v>41390</v>
      </c>
      <c r="F28" s="31">
        <v>10.394768354996099</v>
      </c>
      <c r="G28" s="241">
        <v>3.78</v>
      </c>
      <c r="H28" s="33">
        <f t="shared" si="17"/>
        <v>0.39292224381885255</v>
      </c>
      <c r="I28" s="13">
        <v>54</v>
      </c>
      <c r="J28" s="1"/>
      <c r="K28" s="13">
        <v>136.16970255221401</v>
      </c>
      <c r="L28" s="13">
        <v>289.35210902011698</v>
      </c>
      <c r="M28" s="13">
        <v>389.76683739268202</v>
      </c>
      <c r="N28" s="13">
        <v>537.01752410290703</v>
      </c>
      <c r="O28" s="13">
        <v>601.36578782126696</v>
      </c>
      <c r="P28" s="13">
        <v>444.42719187893999</v>
      </c>
      <c r="Q28" s="13">
        <v>291.39319660568799</v>
      </c>
      <c r="R28" s="13">
        <v>189.62695225693801</v>
      </c>
      <c r="S28" s="13">
        <v>119.395040729546</v>
      </c>
      <c r="T28" s="13">
        <v>110.95954372623601</v>
      </c>
      <c r="U28" s="13">
        <v>85.112428424058507</v>
      </c>
      <c r="V28" s="153">
        <f t="shared" si="25"/>
        <v>310.94738860865357</v>
      </c>
      <c r="W28" s="1">
        <v>1.1863803460125499</v>
      </c>
      <c r="X28" s="1">
        <v>1.8518518518518501</v>
      </c>
      <c r="Y28" s="1">
        <v>0.19756079546079899</v>
      </c>
      <c r="Z28" s="1">
        <v>0.32786885245901598</v>
      </c>
      <c r="AA28" s="152">
        <f t="shared" si="18"/>
        <v>0.18451256452123693</v>
      </c>
      <c r="AB28" s="1">
        <f t="shared" si="26"/>
        <v>0.14153187651798199</v>
      </c>
      <c r="AC28" s="154">
        <f t="shared" si="19"/>
        <v>2.1840492216902936E-2</v>
      </c>
      <c r="AD28" s="154">
        <f t="shared" si="20"/>
        <v>452.65207393888022</v>
      </c>
      <c r="AE28" s="157">
        <v>97.800312664386297</v>
      </c>
      <c r="AF28" s="154">
        <f>(T28*I28)/W28</f>
        <v>5050.5012000201841</v>
      </c>
      <c r="AG28" s="155">
        <f t="shared" si="21"/>
        <v>1.8111169011923389</v>
      </c>
      <c r="AH28" s="154">
        <f t="shared" si="22"/>
        <v>0.16652399555067235</v>
      </c>
      <c r="AI28" s="154">
        <f t="shared" si="23"/>
        <v>0.11836859063540439</v>
      </c>
      <c r="AJ28" s="154">
        <f t="shared" si="24"/>
        <v>8.4481870961881427</v>
      </c>
      <c r="AK28" s="154">
        <f t="shared" si="27"/>
        <v>601.36578782126696</v>
      </c>
    </row>
    <row r="29" spans="1:38" s="248" customFormat="1" ht="15" thickBot="1">
      <c r="A29" s="242">
        <v>41396</v>
      </c>
      <c r="B29" s="243" t="s">
        <v>15</v>
      </c>
      <c r="C29" s="160" t="s">
        <v>12</v>
      </c>
      <c r="D29" s="160">
        <v>10</v>
      </c>
      <c r="E29" s="244">
        <v>41390</v>
      </c>
      <c r="F29" s="245">
        <v>6.4210203690949896</v>
      </c>
      <c r="G29" s="246">
        <v>93.896317621734894</v>
      </c>
      <c r="H29" s="161">
        <f t="shared" si="17"/>
        <v>6.0291016803217259</v>
      </c>
      <c r="I29" s="243">
        <v>59</v>
      </c>
      <c r="J29" s="160"/>
      <c r="K29" s="243">
        <v>384.041560143168</v>
      </c>
      <c r="L29" s="243">
        <v>487.02632912194002</v>
      </c>
      <c r="M29" s="243">
        <v>640.42289903407504</v>
      </c>
      <c r="N29" s="243">
        <v>820.52697486112402</v>
      </c>
      <c r="O29" s="243">
        <v>914.30410163908698</v>
      </c>
      <c r="P29" s="243">
        <v>799.36615689294797</v>
      </c>
      <c r="Q29" s="243">
        <v>657.05173773180297</v>
      </c>
      <c r="R29" s="243">
        <v>472.900708657672</v>
      </c>
      <c r="S29" s="243">
        <v>362.154592300697</v>
      </c>
      <c r="T29" s="243">
        <v>256.98580282969903</v>
      </c>
      <c r="U29" s="243">
        <v>155.32438343498299</v>
      </c>
      <c r="V29" s="162">
        <f t="shared" si="25"/>
        <v>579.47808632122144</v>
      </c>
      <c r="W29" s="160">
        <v>1.5610548806045199</v>
      </c>
      <c r="X29" s="160">
        <v>1.7006802721088401</v>
      </c>
      <c r="Y29" s="160">
        <v>0.21956794047548001</v>
      </c>
      <c r="Z29" s="160">
        <v>0.32488628979857098</v>
      </c>
      <c r="AA29" s="163">
        <f t="shared" si="18"/>
        <v>0.28107256914739487</v>
      </c>
      <c r="AB29" s="160">
        <f t="shared" si="26"/>
        <v>0.16988262784398603</v>
      </c>
      <c r="AC29" s="164">
        <f t="shared" si="19"/>
        <v>2.8793682873236793E-2</v>
      </c>
      <c r="AD29" s="164">
        <f t="shared" si="20"/>
        <v>525.6234005965083</v>
      </c>
      <c r="AE29" s="247">
        <v>164.65522140924301</v>
      </c>
      <c r="AF29" s="164">
        <f>(T29*I29)/W29/100</f>
        <v>97.127670239759169</v>
      </c>
      <c r="AG29" s="166">
        <f t="shared" si="21"/>
        <v>2.7907664645634407</v>
      </c>
      <c r="AH29" s="164">
        <f t="shared" si="22"/>
        <v>0.14065356907276194</v>
      </c>
      <c r="AI29" s="164">
        <f t="shared" si="23"/>
        <v>0.10244216630808019</v>
      </c>
      <c r="AJ29" s="164">
        <f t="shared" si="24"/>
        <v>9.7616053627042874</v>
      </c>
      <c r="AK29" s="164">
        <f t="shared" si="27"/>
        <v>914.30410163908698</v>
      </c>
    </row>
    <row r="30" spans="1:38" s="255" customFormat="1">
      <c r="A30" s="249">
        <v>41415</v>
      </c>
      <c r="B30" s="250" t="s">
        <v>10</v>
      </c>
      <c r="C30" s="250" t="s">
        <v>11</v>
      </c>
      <c r="D30" s="250">
        <v>6</v>
      </c>
      <c r="E30" s="251">
        <v>41411</v>
      </c>
      <c r="F30" s="252">
        <v>3.1267225052595702</v>
      </c>
      <c r="G30" s="253">
        <v>99.998775939855506</v>
      </c>
      <c r="H30" s="33">
        <f t="shared" si="17"/>
        <v>3.1266842322955544</v>
      </c>
      <c r="I30" s="254">
        <v>72</v>
      </c>
      <c r="J30" s="250"/>
      <c r="K30" s="254">
        <v>147.021315218632</v>
      </c>
      <c r="L30" s="254">
        <v>187.91852822600799</v>
      </c>
      <c r="M30" s="254">
        <v>248.4171779708</v>
      </c>
      <c r="N30" s="254">
        <v>318.022155939953</v>
      </c>
      <c r="O30" s="250">
        <v>325.98988665930102</v>
      </c>
      <c r="P30" s="250">
        <v>247.45639946956899</v>
      </c>
      <c r="Q30" s="250">
        <v>166.024048467863</v>
      </c>
      <c r="R30" s="250">
        <v>124.07466057670599</v>
      </c>
      <c r="S30" s="250">
        <v>108.004111011953</v>
      </c>
      <c r="T30" s="250">
        <v>71.922962332411203</v>
      </c>
      <c r="U30" s="250">
        <v>80.770394767147295</v>
      </c>
      <c r="V30" s="153">
        <f t="shared" si="25"/>
        <v>194.4851245873196</v>
      </c>
      <c r="W30" s="250">
        <v>0.59208416659788599</v>
      </c>
      <c r="X30" s="250">
        <v>1.7985611510791399</v>
      </c>
      <c r="Y30" s="250">
        <v>0.12673562667909299</v>
      </c>
      <c r="Z30" s="250">
        <v>0.325097529258778</v>
      </c>
      <c r="AA30" s="152">
        <f t="shared" si="18"/>
        <v>0.22062942832204921</v>
      </c>
      <c r="AB30" s="1">
        <f t="shared" si="26"/>
        <v>0.24776963357627765</v>
      </c>
      <c r="AC30" s="154">
        <f t="shared" si="19"/>
        <v>2.4043296410275573E-2</v>
      </c>
      <c r="AD30" s="154">
        <f t="shared" si="20"/>
        <v>537.12322315137635</v>
      </c>
      <c r="AE30" s="157">
        <v>112.477471148756</v>
      </c>
      <c r="AF30" s="164">
        <f>(T30*I30)/W30</f>
        <v>8746.1438425029755</v>
      </c>
      <c r="AG30" s="155">
        <f t="shared" si="21"/>
        <v>1.5621870992882778</v>
      </c>
      <c r="AH30" s="154">
        <f t="shared" si="22"/>
        <v>0.21405001827242834</v>
      </c>
      <c r="AI30" s="154">
        <f t="shared" si="23"/>
        <v>0.10897592670720227</v>
      </c>
      <c r="AJ30" s="154">
        <f t="shared" si="24"/>
        <v>9.1763385750947641</v>
      </c>
      <c r="AK30" s="154">
        <f t="shared" si="27"/>
        <v>325.98988665930102</v>
      </c>
    </row>
    <row r="31" spans="1:38" s="5" customFormat="1">
      <c r="A31" s="256">
        <v>41414</v>
      </c>
      <c r="B31" s="1" t="s">
        <v>10</v>
      </c>
      <c r="C31" s="1" t="s">
        <v>12</v>
      </c>
      <c r="D31" s="1">
        <v>10</v>
      </c>
      <c r="E31" s="30">
        <v>41411</v>
      </c>
      <c r="F31" s="31">
        <v>5.0444592598674998</v>
      </c>
      <c r="G31" s="33">
        <v>15.878050789414999</v>
      </c>
      <c r="H31" s="33">
        <f t="shared" si="17"/>
        <v>0.80096180333310951</v>
      </c>
      <c r="I31" s="257">
        <v>43</v>
      </c>
      <c r="J31" s="1"/>
      <c r="K31" s="257">
        <v>134.57841014188699</v>
      </c>
      <c r="L31" s="257">
        <v>135.955705998285</v>
      </c>
      <c r="M31" s="257">
        <v>232.69027918864899</v>
      </c>
      <c r="N31" s="257">
        <v>917.54753913745697</v>
      </c>
      <c r="O31" s="1">
        <v>1294.6337637898</v>
      </c>
      <c r="P31" s="1">
        <v>1414.2916286961099</v>
      </c>
      <c r="Q31" s="1">
        <v>1288.2747808821</v>
      </c>
      <c r="R31" s="1">
        <v>1074.24178168967</v>
      </c>
      <c r="S31" s="1">
        <v>380.78891780996599</v>
      </c>
      <c r="T31" s="1">
        <v>472.28970260223099</v>
      </c>
      <c r="U31" s="1">
        <v>243.17211433315001</v>
      </c>
      <c r="V31" s="153">
        <f t="shared" si="25"/>
        <v>734.52925099361551</v>
      </c>
      <c r="W31" s="1">
        <v>1.34272758324597</v>
      </c>
      <c r="X31" s="1">
        <v>0.934579439252336</v>
      </c>
      <c r="Y31" s="1">
        <v>0.38072249850752499</v>
      </c>
      <c r="Z31" s="1">
        <v>0.394011032308905</v>
      </c>
      <c r="AA31" s="152">
        <f t="shared" si="18"/>
        <v>0.33394081745195164</v>
      </c>
      <c r="AB31" s="1">
        <f t="shared" si="26"/>
        <v>0.17193915978795674</v>
      </c>
      <c r="AC31" s="154">
        <f t="shared" si="19"/>
        <v>1.9022592130217106E-2</v>
      </c>
      <c r="AD31" s="154">
        <f t="shared" si="20"/>
        <v>683.34601194334323</v>
      </c>
      <c r="AE31" s="174">
        <v>350.53682603831197</v>
      </c>
      <c r="AF31" s="154">
        <f>(T31*I31)/W31/100</f>
        <v>151.24778447465388</v>
      </c>
      <c r="AG31" s="155">
        <f t="shared" si="21"/>
        <v>8.152019210193302</v>
      </c>
      <c r="AH31" s="154">
        <f t="shared" si="22"/>
        <v>0.28354411070274532</v>
      </c>
      <c r="AI31" s="154">
        <f t="shared" si="23"/>
        <v>5.6963962283389132E-2</v>
      </c>
      <c r="AJ31" s="154">
        <f t="shared" si="24"/>
        <v>17.554958607428247</v>
      </c>
      <c r="AK31" s="154">
        <f t="shared" si="27"/>
        <v>1414.2916286961099</v>
      </c>
    </row>
    <row r="32" spans="1:38" s="5" customFormat="1">
      <c r="A32" s="258">
        <v>41395</v>
      </c>
      <c r="B32" s="13" t="s">
        <v>10</v>
      </c>
      <c r="C32" s="1" t="s">
        <v>11</v>
      </c>
      <c r="D32" s="1">
        <v>6</v>
      </c>
      <c r="E32" s="30">
        <v>41390</v>
      </c>
      <c r="F32" s="31">
        <v>5.1610367935700703</v>
      </c>
      <c r="G32" s="18">
        <v>47.999433395144401</v>
      </c>
      <c r="H32" s="33">
        <f t="shared" si="17"/>
        <v>2.477268418228562</v>
      </c>
      <c r="I32" s="13">
        <v>105</v>
      </c>
      <c r="J32" s="1"/>
      <c r="K32" s="13">
        <v>652.75414238116196</v>
      </c>
      <c r="L32" s="13">
        <v>819.824297387088</v>
      </c>
      <c r="M32" s="13">
        <v>918.61682108740899</v>
      </c>
      <c r="N32" s="13">
        <v>865.54558514554606</v>
      </c>
      <c r="O32" s="13">
        <v>655.04437040895095</v>
      </c>
      <c r="P32" s="13">
        <v>367.64971284254398</v>
      </c>
      <c r="Q32" s="13">
        <v>205.11483805946199</v>
      </c>
      <c r="R32" s="13">
        <v>124.939474412739</v>
      </c>
      <c r="S32" s="13">
        <v>87.287396675268894</v>
      </c>
      <c r="T32" s="13">
        <v>69.406940502516093</v>
      </c>
      <c r="U32" s="13">
        <v>60.039042142151096</v>
      </c>
      <c r="V32" s="153">
        <f t="shared" si="25"/>
        <v>476.61835789026861</v>
      </c>
      <c r="W32" s="1">
        <v>7.4418789253239401</v>
      </c>
      <c r="X32" s="259">
        <v>5</v>
      </c>
      <c r="Y32" s="1">
        <v>0.26017861140132098</v>
      </c>
      <c r="Z32" s="1">
        <v>0.28296547821165802</v>
      </c>
      <c r="AA32" s="152">
        <f t="shared" si="18"/>
        <v>7.5555921586931002E-2</v>
      </c>
      <c r="AB32" s="1">
        <f t="shared" si="26"/>
        <v>6.5358091386874581E-2</v>
      </c>
      <c r="AC32" s="154">
        <f t="shared" si="19"/>
        <v>3.6725520867925042E-2</v>
      </c>
      <c r="AD32" s="154">
        <f t="shared" si="20"/>
        <v>116.3073994929136</v>
      </c>
      <c r="AE32" s="157">
        <v>9.1882873450354907</v>
      </c>
      <c r="AF32" s="154">
        <f>(T32*I32)/W32</f>
        <v>979.28612194493076</v>
      </c>
      <c r="AG32" s="155">
        <f t="shared" si="21"/>
        <v>8.7507498524147534E-2</v>
      </c>
      <c r="AH32" s="154">
        <f t="shared" si="22"/>
        <v>3.496141418210396E-2</v>
      </c>
      <c r="AI32" s="154">
        <f t="shared" si="23"/>
        <v>0.48607071552519449</v>
      </c>
      <c r="AJ32" s="154">
        <f t="shared" si="24"/>
        <v>2.0573138188740914</v>
      </c>
      <c r="AK32" s="154">
        <f t="shared" si="27"/>
        <v>918.61682108740899</v>
      </c>
    </row>
    <row r="33" spans="1:37" s="11" customFormat="1">
      <c r="A33" s="258">
        <v>41393</v>
      </c>
      <c r="B33" s="13" t="s">
        <v>10</v>
      </c>
      <c r="C33" s="1" t="s">
        <v>12</v>
      </c>
      <c r="D33" s="1">
        <v>10</v>
      </c>
      <c r="E33" s="30">
        <v>41390</v>
      </c>
      <c r="F33" s="31">
        <v>5.9014600956289103</v>
      </c>
      <c r="G33" s="18">
        <v>53.796523204329603</v>
      </c>
      <c r="H33" s="33">
        <f t="shared" si="17"/>
        <v>3.1747803497392586</v>
      </c>
      <c r="I33" s="13">
        <v>90</v>
      </c>
      <c r="J33" s="1"/>
      <c r="K33" s="13">
        <v>1484.0801867699799</v>
      </c>
      <c r="L33" s="13">
        <v>1609.96245807795</v>
      </c>
      <c r="M33" s="156">
        <v>1671.35107551752</v>
      </c>
      <c r="N33" s="13">
        <v>1570.65230715855</v>
      </c>
      <c r="O33" s="13">
        <v>1167.3040939053999</v>
      </c>
      <c r="P33" s="13">
        <v>653.95160171157602</v>
      </c>
      <c r="Q33" s="13">
        <v>409.55627195582099</v>
      </c>
      <c r="R33" s="13">
        <v>271.86838752642097</v>
      </c>
      <c r="S33" s="13">
        <v>168.39273276922401</v>
      </c>
      <c r="T33" s="13">
        <v>131.30968284366401</v>
      </c>
      <c r="U33" s="13">
        <v>98.325551072189995</v>
      </c>
      <c r="V33" s="153">
        <f t="shared" si="25"/>
        <v>913.84287982361059</v>
      </c>
      <c r="W33" s="1">
        <v>16.128312620651101</v>
      </c>
      <c r="X33" s="1">
        <v>9.6153846153846203</v>
      </c>
      <c r="Y33" s="1">
        <v>0.44285602294610898</v>
      </c>
      <c r="Z33" s="1">
        <v>0.28425241614553698</v>
      </c>
      <c r="AA33" s="152">
        <f t="shared" si="18"/>
        <v>7.8564991381601293E-2</v>
      </c>
      <c r="AB33" s="1">
        <f t="shared" si="26"/>
        <v>5.8829980434687727E-2</v>
      </c>
      <c r="AC33" s="154">
        <f t="shared" si="19"/>
        <v>4.5488494689203636E-2</v>
      </c>
      <c r="AD33" s="154">
        <f t="shared" si="20"/>
        <v>97.384788111525495</v>
      </c>
      <c r="AE33" s="157">
        <v>8.3320509376699494</v>
      </c>
      <c r="AF33" s="154">
        <f>(T33*I33)/W33/100</f>
        <v>7.3274072334125382</v>
      </c>
      <c r="AG33" s="155">
        <f t="shared" si="21"/>
        <v>9.2578343751888323E-2</v>
      </c>
      <c r="AH33" s="154">
        <f t="shared" si="22"/>
        <v>2.7458298543833089E-2</v>
      </c>
      <c r="AI33" s="154">
        <f t="shared" si="23"/>
        <v>0.5789919134371132</v>
      </c>
      <c r="AJ33" s="154">
        <f t="shared" si="24"/>
        <v>1.7271398387304322</v>
      </c>
      <c r="AK33" s="154">
        <f t="shared" si="27"/>
        <v>1671.35107551752</v>
      </c>
    </row>
    <row r="34" spans="1:37" s="11" customFormat="1">
      <c r="A34" s="14"/>
      <c r="F34" s="14"/>
      <c r="G34" s="3"/>
      <c r="AA34" s="1"/>
    </row>
    <row r="35" spans="1:37" s="11" customFormat="1">
      <c r="A35" s="14"/>
      <c r="E35" s="14"/>
      <c r="F35" s="35"/>
      <c r="I35" s="7"/>
      <c r="K35" s="11">
        <f t="shared" ref="K35:U35" si="28">AVERAGE(K2:K4)</f>
        <v>347.39775470999234</v>
      </c>
      <c r="L35" s="11">
        <f t="shared" si="28"/>
        <v>562.85366341320866</v>
      </c>
      <c r="M35" s="11">
        <f t="shared" si="28"/>
        <v>731.42520271479998</v>
      </c>
      <c r="N35" s="11">
        <f t="shared" si="28"/>
        <v>837.23617542474597</v>
      </c>
      <c r="O35" s="11">
        <f t="shared" si="28"/>
        <v>776.90510053320531</v>
      </c>
      <c r="P35" s="11">
        <f t="shared" si="28"/>
        <v>549.61042871689995</v>
      </c>
      <c r="Q35" s="11">
        <f t="shared" si="28"/>
        <v>397.88848013250066</v>
      </c>
      <c r="R35" s="11">
        <f t="shared" si="28"/>
        <v>284.35909897664698</v>
      </c>
      <c r="S35" s="11">
        <f t="shared" si="28"/>
        <v>179.89304084010067</v>
      </c>
      <c r="T35" s="11">
        <f t="shared" si="28"/>
        <v>127.18629522049748</v>
      </c>
      <c r="U35" s="11">
        <f t="shared" si="28"/>
        <v>78.831489396892707</v>
      </c>
    </row>
    <row r="36" spans="1:37" s="11" customFormat="1">
      <c r="F36" s="35"/>
      <c r="H36" s="11">
        <f>_xlfn.F.TEST(T7:T12,T13:T17)</f>
        <v>0.51274716033458834</v>
      </c>
    </row>
    <row r="37" spans="1:37" s="11" customFormat="1">
      <c r="F37" s="35"/>
      <c r="H37" s="11">
        <f>SQRT(0.22)</f>
        <v>0.46904157598234297</v>
      </c>
      <c r="K37" s="11">
        <f t="shared" ref="K37:U37" si="29">AVERAGE(K8:K12)</f>
        <v>805.98179428800131</v>
      </c>
      <c r="L37" s="11">
        <f t="shared" si="29"/>
        <v>1138.4810502115095</v>
      </c>
      <c r="M37" s="11">
        <f t="shared" si="29"/>
        <v>1583.0011887285696</v>
      </c>
      <c r="N37" s="11">
        <f t="shared" si="29"/>
        <v>1521.3159434878144</v>
      </c>
      <c r="O37" s="11">
        <f t="shared" si="29"/>
        <v>1467.6932214861472</v>
      </c>
      <c r="P37" s="11">
        <f t="shared" si="29"/>
        <v>960.76315799924976</v>
      </c>
      <c r="Q37" s="11">
        <f t="shared" si="29"/>
        <v>632.42903558029377</v>
      </c>
      <c r="R37" s="11">
        <f t="shared" si="29"/>
        <v>383.12782037454599</v>
      </c>
      <c r="S37" s="11">
        <f t="shared" si="29"/>
        <v>251.78254000354647</v>
      </c>
      <c r="T37" s="11">
        <f>AVERAGE(T7:T12)</f>
        <v>181.50389621153005</v>
      </c>
      <c r="U37" s="11">
        <f t="shared" si="29"/>
        <v>104.16082795200643</v>
      </c>
    </row>
    <row r="38" spans="1:37" s="11" customFormat="1">
      <c r="B38" s="75"/>
      <c r="F38" s="35"/>
    </row>
    <row r="39" spans="1:37" s="11" customFormat="1">
      <c r="F39" s="35"/>
      <c r="K39" s="11">
        <v>0.5</v>
      </c>
      <c r="L39" s="11">
        <v>1</v>
      </c>
      <c r="M39" s="11">
        <v>2</v>
      </c>
      <c r="N39" s="11">
        <v>5</v>
      </c>
      <c r="O39" s="11">
        <v>10</v>
      </c>
      <c r="P39" s="11">
        <v>20</v>
      </c>
      <c r="Q39" s="11">
        <v>30</v>
      </c>
      <c r="R39" s="11">
        <v>40</v>
      </c>
      <c r="S39" s="11">
        <v>50</v>
      </c>
      <c r="T39" s="11">
        <v>60</v>
      </c>
      <c r="U39" s="11">
        <v>75</v>
      </c>
    </row>
    <row r="40" spans="1:37" s="11" customFormat="1">
      <c r="F40" s="35"/>
      <c r="X40" s="14"/>
    </row>
    <row r="41" spans="1:37" s="11" customFormat="1">
      <c r="F41" s="35"/>
      <c r="K41" s="11">
        <f>K37/K35</f>
        <v>2.3200547020254492</v>
      </c>
      <c r="L41" s="11">
        <f t="shared" ref="L41:U41" si="30">L37/L35</f>
        <v>2.0226945727023091</v>
      </c>
      <c r="M41" s="11">
        <f t="shared" si="30"/>
        <v>2.1642694056111424</v>
      </c>
      <c r="N41" s="11">
        <f t="shared" si="30"/>
        <v>1.8170690518909096</v>
      </c>
      <c r="O41" s="11">
        <f t="shared" si="30"/>
        <v>1.8891537981651045</v>
      </c>
      <c r="P41" s="11">
        <f t="shared" si="30"/>
        <v>1.7480802906928308</v>
      </c>
      <c r="Q41" s="11">
        <f t="shared" si="30"/>
        <v>1.5894630459511894</v>
      </c>
      <c r="R41" s="11">
        <f t="shared" si="30"/>
        <v>1.3473380023827211</v>
      </c>
      <c r="S41" s="11">
        <f t="shared" si="30"/>
        <v>1.3996235698041557</v>
      </c>
      <c r="T41" s="11">
        <f t="shared" si="30"/>
        <v>1.4270711785170285</v>
      </c>
      <c r="U41" s="11">
        <f t="shared" si="30"/>
        <v>1.3213099073593315</v>
      </c>
    </row>
    <row r="42" spans="1:37" s="11" customFormat="1">
      <c r="F42" s="35"/>
    </row>
    <row r="43" spans="1:37" s="11" customFormat="1">
      <c r="F43" s="35"/>
    </row>
    <row r="44" spans="1:37" s="11" customFormat="1">
      <c r="F44" s="35"/>
    </row>
    <row r="45" spans="1:37" s="11" customFormat="1">
      <c r="F45" s="35"/>
    </row>
    <row r="46" spans="1:37" s="11" customFormat="1">
      <c r="F46" s="260"/>
      <c r="M46" s="11">
        <f>SQRT(0.25)</f>
        <v>0.5</v>
      </c>
    </row>
    <row r="47" spans="1:37" s="11" customFormat="1">
      <c r="F47" s="35"/>
    </row>
    <row r="48" spans="1:37" s="11" customFormat="1">
      <c r="F48" s="35"/>
    </row>
    <row r="49" spans="1:35" s="11" customFormat="1">
      <c r="A49" s="261"/>
      <c r="B49" s="261"/>
      <c r="C49" s="261"/>
      <c r="D49" s="261"/>
      <c r="F49" s="260"/>
    </row>
    <row r="50" spans="1:35" s="11" customFormat="1" ht="15">
      <c r="A50" s="262"/>
      <c r="B50" s="262"/>
      <c r="C50" s="262"/>
      <c r="D50" s="262"/>
      <c r="F50" s="263"/>
    </row>
    <row r="51" spans="1:35" s="11" customFormat="1" ht="15">
      <c r="A51" s="262"/>
      <c r="B51" s="262"/>
      <c r="C51" s="264"/>
      <c r="D51" s="264"/>
      <c r="F51" s="265"/>
    </row>
    <row r="52" spans="1:35" s="11" customFormat="1" ht="15">
      <c r="A52" s="262"/>
      <c r="B52" s="262"/>
      <c r="C52" s="264"/>
      <c r="D52" s="264"/>
      <c r="F52" s="265"/>
    </row>
    <row r="53" spans="1:35" s="11" customFormat="1" ht="15">
      <c r="A53" s="262"/>
      <c r="B53" s="262"/>
      <c r="C53" s="264"/>
      <c r="D53" s="264"/>
      <c r="F53" s="265"/>
    </row>
    <row r="54" spans="1:35" s="11" customFormat="1">
      <c r="A54" s="261"/>
      <c r="B54" s="261"/>
      <c r="C54" s="261"/>
      <c r="D54" s="261"/>
      <c r="F54" s="260"/>
    </row>
    <row r="55" spans="1:35" s="11" customFormat="1">
      <c r="A55" s="261"/>
      <c r="B55" s="261"/>
      <c r="C55" s="261"/>
      <c r="D55" s="261"/>
      <c r="E55" s="261"/>
      <c r="F55" s="260"/>
    </row>
    <row r="56" spans="1:35" s="11" customFormat="1">
      <c r="A56" s="261"/>
      <c r="B56" s="261"/>
      <c r="C56" s="261"/>
      <c r="D56" s="261"/>
      <c r="E56" s="261"/>
      <c r="F56" s="35"/>
    </row>
    <row r="57" spans="1:35" s="11" customFormat="1">
      <c r="F57" s="35"/>
    </row>
    <row r="58" spans="1:35" s="11" customFormat="1">
      <c r="A58" s="11">
        <v>-0.51880923287723402</v>
      </c>
      <c r="B58" s="11">
        <v>0.47121555936423098</v>
      </c>
      <c r="C58" s="11">
        <v>-0.60563064773179998</v>
      </c>
      <c r="F58" s="35"/>
    </row>
    <row r="59" spans="1:35" s="11" customFormat="1">
      <c r="A59" s="11">
        <v>4.7523379019865801E-2</v>
      </c>
      <c r="B59" s="11">
        <v>7.6221408117306405E-2</v>
      </c>
      <c r="C59" s="11">
        <v>1.6724265684388399E-2</v>
      </c>
      <c r="F59" s="35"/>
    </row>
    <row r="60" spans="1:35" s="11" customFormat="1">
      <c r="F60" s="35"/>
      <c r="AB60" s="1"/>
      <c r="AC60" s="1"/>
      <c r="AD60" s="1"/>
      <c r="AE60" s="1"/>
    </row>
    <row r="61" spans="1:35" s="11" customFormat="1">
      <c r="F61" s="35"/>
      <c r="AB61" s="1"/>
      <c r="AC61" s="1"/>
      <c r="AD61" s="1"/>
      <c r="AE61" s="1"/>
    </row>
    <row r="62" spans="1:35" s="11" customFormat="1">
      <c r="F62" s="35"/>
      <c r="AB62" s="1"/>
      <c r="AC62" s="1"/>
      <c r="AD62" s="1"/>
      <c r="AE62" s="1"/>
    </row>
    <row r="63" spans="1:35" s="11" customFormat="1">
      <c r="F63" s="35"/>
      <c r="AB63" s="1"/>
      <c r="AC63" s="1"/>
      <c r="AD63" s="1"/>
      <c r="AE63" s="1"/>
    </row>
    <row r="64" spans="1:35" s="11" customFormat="1">
      <c r="A64" s="16"/>
      <c r="B64" s="7"/>
      <c r="C64" s="7"/>
      <c r="D64" s="7"/>
      <c r="E64" s="16"/>
      <c r="F64" s="32"/>
      <c r="G64" s="17"/>
      <c r="H64" s="33"/>
      <c r="I64" s="38"/>
      <c r="J64" s="7"/>
      <c r="K64" s="266"/>
      <c r="L64" s="266"/>
      <c r="M64" s="266"/>
      <c r="N64" s="266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1"/>
      <c r="AC64" s="1"/>
      <c r="AD64" s="1"/>
      <c r="AE64" s="1"/>
      <c r="AF64" s="10"/>
      <c r="AG64" s="10"/>
      <c r="AH64" s="10"/>
      <c r="AI64" s="10"/>
    </row>
    <row r="65" spans="1:38" s="11" customFormat="1">
      <c r="A65" s="14"/>
      <c r="E65" s="14"/>
      <c r="F65" s="35"/>
      <c r="H65" s="33"/>
      <c r="AB65" s="1"/>
      <c r="AC65" s="1"/>
      <c r="AD65" s="1"/>
      <c r="AE65" s="1"/>
    </row>
    <row r="66" spans="1:38" s="11" customFormat="1">
      <c r="A66" s="15"/>
      <c r="B66" s="3"/>
      <c r="C66" s="3"/>
      <c r="D66" s="3"/>
      <c r="E66" s="15"/>
      <c r="F66" s="36"/>
      <c r="G66" s="17"/>
      <c r="H66" s="33"/>
      <c r="I66" s="10"/>
      <c r="J66" s="3"/>
      <c r="K66" s="3"/>
      <c r="L66" s="10"/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1"/>
    </row>
    <row r="67" spans="1:38" s="11" customFormat="1">
      <c r="A67" s="14"/>
      <c r="E67" s="14"/>
      <c r="F67" s="35"/>
      <c r="H67" s="33"/>
      <c r="K67" s="3"/>
      <c r="AB67" s="1"/>
      <c r="AC67" s="1"/>
      <c r="AD67" s="1"/>
      <c r="AE67" s="1"/>
    </row>
    <row r="68" spans="1:38" s="10" customFormat="1">
      <c r="A68" s="14"/>
      <c r="B68" s="11"/>
      <c r="C68" s="11"/>
      <c r="D68" s="11"/>
      <c r="E68" s="14"/>
      <c r="F68" s="35"/>
      <c r="G68" s="11"/>
      <c r="H68" s="33"/>
      <c r="I68" s="11"/>
      <c r="J68" s="7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"/>
      <c r="AC68" s="1"/>
      <c r="AD68" s="1"/>
      <c r="AE68" s="1"/>
      <c r="AF68" s="11"/>
      <c r="AG68" s="11"/>
      <c r="AH68" s="11"/>
      <c r="AI68" s="11"/>
    </row>
    <row r="69" spans="1:38" s="11" customFormat="1">
      <c r="A69" s="30"/>
      <c r="B69" s="1"/>
      <c r="C69" s="1"/>
      <c r="D69" s="1"/>
      <c r="E69" s="30"/>
      <c r="F69" s="31"/>
      <c r="G69" s="33"/>
      <c r="H69" s="33"/>
      <c r="I69" s="257"/>
      <c r="J69" s="1"/>
      <c r="K69" s="257"/>
      <c r="L69" s="257"/>
      <c r="M69" s="257"/>
      <c r="N69" s="257"/>
      <c r="O69" s="13"/>
      <c r="P69" s="13"/>
      <c r="Q69" s="13"/>
      <c r="R69" s="13"/>
      <c r="S69" s="13"/>
      <c r="T69" s="1"/>
      <c r="U69" s="1"/>
      <c r="V69" s="1"/>
      <c r="W69" s="1"/>
      <c r="X69" s="1"/>
      <c r="Y69" s="1"/>
      <c r="Z69" s="1"/>
      <c r="AA69" s="10"/>
      <c r="AB69" s="1"/>
      <c r="AC69" s="1"/>
      <c r="AD69" s="1"/>
      <c r="AE69" s="1"/>
    </row>
    <row r="70" spans="1:38" s="11" customFormat="1">
      <c r="F70" s="35"/>
      <c r="T70" s="11" t="s">
        <v>166</v>
      </c>
      <c r="W70" s="11" t="s">
        <v>167</v>
      </c>
      <c r="AE70" s="11" t="s">
        <v>168</v>
      </c>
    </row>
    <row r="71" spans="1:38" s="225" customFormat="1">
      <c r="A71" s="221">
        <v>41599</v>
      </c>
      <c r="B71" s="222" t="s">
        <v>15</v>
      </c>
      <c r="C71" s="222" t="s">
        <v>70</v>
      </c>
      <c r="D71" s="223">
        <v>6</v>
      </c>
      <c r="E71" s="224">
        <v>41595</v>
      </c>
      <c r="F71" s="47">
        <v>5.7218315442144201</v>
      </c>
      <c r="G71" s="47">
        <v>33.456858089655199</v>
      </c>
      <c r="H71" s="33">
        <f t="shared" ref="H71:H76" si="31">F71*G71/100</f>
        <v>1.9143450598769454</v>
      </c>
      <c r="I71" s="153">
        <v>76</v>
      </c>
      <c r="J71" s="153"/>
      <c r="K71" s="225">
        <v>254.06324467148099</v>
      </c>
      <c r="L71" s="225">
        <v>328.070828398635</v>
      </c>
      <c r="M71" s="225">
        <v>432.68758313614001</v>
      </c>
      <c r="N71" s="225">
        <v>492.48403491945697</v>
      </c>
      <c r="O71" s="225">
        <v>417.54228340171699</v>
      </c>
      <c r="P71" s="225">
        <v>201.256987004423</v>
      </c>
      <c r="Q71" s="225">
        <v>103.362784220252</v>
      </c>
      <c r="R71" s="225">
        <v>75.005582974980499</v>
      </c>
      <c r="S71" s="225">
        <v>58.718144235186003</v>
      </c>
      <c r="T71" s="225">
        <v>53.594990322213398</v>
      </c>
      <c r="U71" s="225">
        <v>48.223919915700698</v>
      </c>
      <c r="V71" s="153">
        <f t="shared" ref="V71:V76" si="32">AVERAGE(K71:T71)</f>
        <v>241.67864632844848</v>
      </c>
      <c r="W71" s="225">
        <v>1.6149304873052901</v>
      </c>
      <c r="Y71" s="154">
        <v>0.163890638809956</v>
      </c>
      <c r="Z71" s="152">
        <f>T71/MAX(K71:U71)</f>
        <v>0.10882584311789632</v>
      </c>
      <c r="AA71" s="152">
        <f t="shared" ref="AA71:AA76" si="33">T71/MAX(K71:U71)</f>
        <v>0.10882584311789632</v>
      </c>
      <c r="AC71" s="154">
        <f t="shared" ref="AC71:AC76" si="34">AA71/AJ71</f>
        <v>2.1411395220541796E-2</v>
      </c>
      <c r="AD71" s="154">
        <f t="shared" ref="AD71:AD76" si="35">N71/W71</f>
        <v>304.9568007978022</v>
      </c>
      <c r="AE71" s="152">
        <v>30.875490968013199</v>
      </c>
      <c r="AF71" s="226"/>
      <c r="AG71" s="155">
        <f t="shared" ref="AG71:AG76" si="36">AE71/I71</f>
        <v>0.40625646010543681</v>
      </c>
      <c r="AH71" s="154">
        <f t="shared" ref="AH71:AH76" si="37">Y71/W71</f>
        <v>0.10148463980231599</v>
      </c>
      <c r="AI71" s="154">
        <f t="shared" ref="AI71:AI76" si="38">(W71*60/MAX(K71:U71))</f>
        <v>0.19674917838537481</v>
      </c>
      <c r="AJ71" s="154">
        <f t="shared" ref="AJ71:AJ76" si="39">1/AI71</f>
        <v>5.0826133466300369</v>
      </c>
    </row>
    <row r="72" spans="1:38" s="153" customFormat="1">
      <c r="A72" s="230">
        <v>41599</v>
      </c>
      <c r="B72" s="222" t="s">
        <v>10</v>
      </c>
      <c r="C72" s="222" t="s">
        <v>70</v>
      </c>
      <c r="D72" s="223">
        <v>6</v>
      </c>
      <c r="E72" s="224">
        <v>41595</v>
      </c>
      <c r="F72" s="153">
        <v>7.6640242883995802</v>
      </c>
      <c r="G72" s="47">
        <v>33.4134032047793</v>
      </c>
      <c r="H72" s="33">
        <f t="shared" si="31"/>
        <v>2.5608113371951693</v>
      </c>
      <c r="I72" s="153">
        <v>60</v>
      </c>
      <c r="K72" s="153">
        <v>322.77281717572799</v>
      </c>
      <c r="L72" s="153">
        <v>435.91866302823797</v>
      </c>
      <c r="M72" s="153">
        <v>318.60234814451297</v>
      </c>
      <c r="N72" s="153">
        <v>519.22350954689</v>
      </c>
      <c r="O72" s="153">
        <v>427.27047036029001</v>
      </c>
      <c r="P72" s="153">
        <v>213.78637967591101</v>
      </c>
      <c r="Q72" s="153">
        <v>122.31676661111</v>
      </c>
      <c r="R72" s="153">
        <v>93.029120996116504</v>
      </c>
      <c r="S72" s="153">
        <v>77.617221933754394</v>
      </c>
      <c r="T72" s="173">
        <v>66.888475400709098</v>
      </c>
      <c r="U72" s="153">
        <v>61.549116178653399</v>
      </c>
      <c r="V72" s="153">
        <f t="shared" si="32"/>
        <v>259.74257728732601</v>
      </c>
      <c r="W72" s="153">
        <v>2.2073858121706902</v>
      </c>
      <c r="Y72" s="153">
        <v>0.16225031595131201</v>
      </c>
      <c r="Z72" s="152">
        <f>T72/MAX(K72:U72)</f>
        <v>0.12882405008794875</v>
      </c>
      <c r="AA72" s="152">
        <f t="shared" si="33"/>
        <v>0.12882405008794875</v>
      </c>
      <c r="AC72" s="154">
        <f t="shared" si="34"/>
        <v>3.2860343401475818E-2</v>
      </c>
      <c r="AD72" s="154">
        <f t="shared" si="35"/>
        <v>235.2210051745771</v>
      </c>
      <c r="AE72" s="153">
        <v>28.922762935912399</v>
      </c>
      <c r="AF72" s="226"/>
      <c r="AG72" s="155">
        <f t="shared" si="36"/>
        <v>0.48204604893187331</v>
      </c>
      <c r="AH72" s="154">
        <f t="shared" si="37"/>
        <v>7.3503379000048455E-2</v>
      </c>
      <c r="AI72" s="154">
        <f t="shared" si="38"/>
        <v>0.25507926027043798</v>
      </c>
      <c r="AJ72" s="154">
        <f t="shared" si="39"/>
        <v>3.9203500862429523</v>
      </c>
    </row>
    <row r="73" spans="1:38" s="5" customFormat="1">
      <c r="A73" s="236">
        <v>41452</v>
      </c>
      <c r="B73" s="5" t="s">
        <v>15</v>
      </c>
      <c r="C73" s="5" t="s">
        <v>11</v>
      </c>
      <c r="D73" s="5">
        <v>6</v>
      </c>
      <c r="E73" s="19">
        <v>41445</v>
      </c>
      <c r="F73" s="34">
        <v>5.17499281762196</v>
      </c>
      <c r="G73" s="5">
        <v>31.099562851424</v>
      </c>
      <c r="H73" s="33">
        <f t="shared" si="31"/>
        <v>1.6094001438730192</v>
      </c>
      <c r="I73" s="5">
        <v>64</v>
      </c>
      <c r="K73" s="5">
        <v>1957.2034802784201</v>
      </c>
      <c r="L73" s="5">
        <v>2136.9623279195698</v>
      </c>
      <c r="M73" s="5">
        <v>2341.2379350348001</v>
      </c>
      <c r="N73" s="5">
        <v>2259.5489249806701</v>
      </c>
      <c r="O73" s="5">
        <v>1896.38255220418</v>
      </c>
      <c r="P73" s="5">
        <v>1252.1345630317101</v>
      </c>
      <c r="Q73" s="5">
        <v>875.04362016427206</v>
      </c>
      <c r="R73" s="5">
        <v>613.62383730828196</v>
      </c>
      <c r="S73" s="5">
        <v>456.560861932357</v>
      </c>
      <c r="T73" s="5">
        <v>306.11198926933503</v>
      </c>
      <c r="U73" s="5">
        <v>238.60549141592401</v>
      </c>
      <c r="V73" s="153">
        <f t="shared" si="32"/>
        <v>1409.4810092123596</v>
      </c>
      <c r="W73" s="5">
        <v>14.0711431057341</v>
      </c>
      <c r="X73" s="5">
        <v>5.9523809523809499</v>
      </c>
      <c r="Y73" s="5">
        <v>0.58856977914293496</v>
      </c>
      <c r="Z73" s="5">
        <v>0.28409090909090901</v>
      </c>
      <c r="AA73" s="152">
        <f t="shared" si="33"/>
        <v>0.1307479195892941</v>
      </c>
      <c r="AB73" s="1">
        <f>U73/MAX(K73:U73)</f>
        <v>0.10191424282230306</v>
      </c>
      <c r="AC73" s="154">
        <f t="shared" si="34"/>
        <v>4.7148715466818855E-2</v>
      </c>
      <c r="AD73" s="154">
        <f t="shared" si="35"/>
        <v>160.58033864070975</v>
      </c>
      <c r="AE73" s="237">
        <v>21.443220328276698</v>
      </c>
      <c r="AF73" s="226"/>
      <c r="AG73" s="155">
        <f t="shared" si="36"/>
        <v>0.33505031762932341</v>
      </c>
      <c r="AH73" s="154">
        <f t="shared" si="37"/>
        <v>4.1828142512678176E-2</v>
      </c>
      <c r="AI73" s="154">
        <f t="shared" si="38"/>
        <v>0.36060776810004008</v>
      </c>
      <c r="AJ73" s="154">
        <f t="shared" si="39"/>
        <v>2.7730961129006495</v>
      </c>
      <c r="AK73" s="154">
        <f>MAX(K73:U73)</f>
        <v>2341.2379350348001</v>
      </c>
      <c r="AL73" s="5" t="e">
        <f>AVERAGE(AA58:AA62)</f>
        <v>#DIV/0!</v>
      </c>
    </row>
    <row r="74" spans="1:38" s="11" customFormat="1" ht="15" thickBot="1">
      <c r="A74" s="240">
        <v>41398</v>
      </c>
      <c r="B74" s="13" t="s">
        <v>15</v>
      </c>
      <c r="C74" s="1" t="s">
        <v>11</v>
      </c>
      <c r="D74" s="1">
        <v>6</v>
      </c>
      <c r="E74" s="30">
        <v>41390</v>
      </c>
      <c r="F74" s="31">
        <v>10.394768354996099</v>
      </c>
      <c r="G74" s="241">
        <v>3.78</v>
      </c>
      <c r="H74" s="33">
        <f t="shared" si="31"/>
        <v>0.39292224381885255</v>
      </c>
      <c r="I74" s="13">
        <v>54</v>
      </c>
      <c r="J74" s="1"/>
      <c r="K74" s="13">
        <v>136.16970255221401</v>
      </c>
      <c r="L74" s="13">
        <v>289.35210902011698</v>
      </c>
      <c r="M74" s="13">
        <v>389.76683739268202</v>
      </c>
      <c r="N74" s="13">
        <v>537.01752410290703</v>
      </c>
      <c r="O74" s="13">
        <v>601.36578782126696</v>
      </c>
      <c r="P74" s="13">
        <v>444.42719187893999</v>
      </c>
      <c r="Q74" s="13">
        <v>291.39319660568799</v>
      </c>
      <c r="R74" s="13">
        <v>189.62695225693801</v>
      </c>
      <c r="S74" s="13">
        <v>119.395040729546</v>
      </c>
      <c r="T74" s="13">
        <v>110.95954372623601</v>
      </c>
      <c r="U74" s="13">
        <v>85.112428424058507</v>
      </c>
      <c r="V74" s="153">
        <f t="shared" si="32"/>
        <v>310.94738860865357</v>
      </c>
      <c r="W74" s="1">
        <v>1.1863803460125499</v>
      </c>
      <c r="X74" s="1">
        <v>1.8518518518518501</v>
      </c>
      <c r="Y74" s="1">
        <v>0.19756079546079899</v>
      </c>
      <c r="Z74" s="1">
        <v>0.32786885245901598</v>
      </c>
      <c r="AA74" s="152">
        <f t="shared" si="33"/>
        <v>0.18451256452123693</v>
      </c>
      <c r="AB74" s="1">
        <f>U74/MAX(K74:U74)</f>
        <v>0.14153187651798199</v>
      </c>
      <c r="AC74" s="154">
        <f t="shared" si="34"/>
        <v>2.1840492216902936E-2</v>
      </c>
      <c r="AD74" s="154">
        <f t="shared" si="35"/>
        <v>452.65207393888022</v>
      </c>
      <c r="AE74" s="157">
        <v>97.800312664386297</v>
      </c>
      <c r="AF74" s="226"/>
      <c r="AG74" s="155">
        <f t="shared" si="36"/>
        <v>1.8111169011923389</v>
      </c>
      <c r="AH74" s="154">
        <f t="shared" si="37"/>
        <v>0.16652399555067235</v>
      </c>
      <c r="AI74" s="154">
        <f t="shared" si="38"/>
        <v>0.11836859063540439</v>
      </c>
      <c r="AJ74" s="154">
        <f t="shared" si="39"/>
        <v>8.4481870961881427</v>
      </c>
      <c r="AK74" s="154">
        <f>MAX(K74:U74)</f>
        <v>601.36578782126696</v>
      </c>
    </row>
    <row r="75" spans="1:38" s="255" customFormat="1">
      <c r="A75" s="249">
        <v>41415</v>
      </c>
      <c r="B75" s="250" t="s">
        <v>10</v>
      </c>
      <c r="C75" s="250" t="s">
        <v>11</v>
      </c>
      <c r="D75" s="250">
        <v>6</v>
      </c>
      <c r="E75" s="251">
        <v>41411</v>
      </c>
      <c r="F75" s="252">
        <v>3.1267225052595702</v>
      </c>
      <c r="G75" s="253">
        <v>99.998775939855506</v>
      </c>
      <c r="H75" s="33">
        <f t="shared" si="31"/>
        <v>3.1266842322955544</v>
      </c>
      <c r="I75" s="254">
        <v>72</v>
      </c>
      <c r="J75" s="250"/>
      <c r="K75" s="254">
        <v>147.021315218632</v>
      </c>
      <c r="L75" s="254">
        <v>187.91852822600799</v>
      </c>
      <c r="M75" s="254">
        <v>248.4171779708</v>
      </c>
      <c r="N75" s="254">
        <v>318.022155939953</v>
      </c>
      <c r="O75" s="250">
        <v>325.98988665930102</v>
      </c>
      <c r="P75" s="250">
        <v>247.45639946956899</v>
      </c>
      <c r="Q75" s="250">
        <v>166.024048467863</v>
      </c>
      <c r="R75" s="250">
        <v>124.07466057670599</v>
      </c>
      <c r="S75" s="250">
        <v>108.004111011953</v>
      </c>
      <c r="T75" s="250">
        <v>71.922962332411203</v>
      </c>
      <c r="U75" s="250">
        <v>80.770394767147295</v>
      </c>
      <c r="V75" s="153">
        <f t="shared" si="32"/>
        <v>194.4851245873196</v>
      </c>
      <c r="W75" s="250">
        <v>0.59208416659788599</v>
      </c>
      <c r="X75" s="250">
        <v>1.7985611510791399</v>
      </c>
      <c r="Y75" s="250">
        <v>0.12673562667909299</v>
      </c>
      <c r="Z75" s="250">
        <v>0.325097529258778</v>
      </c>
      <c r="AA75" s="152">
        <f t="shared" si="33"/>
        <v>0.22062942832204921</v>
      </c>
      <c r="AB75" s="1">
        <f>U75/MAX(K75:U75)</f>
        <v>0.24776963357627765</v>
      </c>
      <c r="AC75" s="154">
        <f t="shared" si="34"/>
        <v>2.4043296410275573E-2</v>
      </c>
      <c r="AD75" s="154">
        <f t="shared" si="35"/>
        <v>537.12322315137635</v>
      </c>
      <c r="AE75" s="157">
        <v>112.477471148756</v>
      </c>
      <c r="AF75" s="226"/>
      <c r="AG75" s="155">
        <f t="shared" si="36"/>
        <v>1.5621870992882778</v>
      </c>
      <c r="AH75" s="154">
        <f t="shared" si="37"/>
        <v>0.21405001827242834</v>
      </c>
      <c r="AI75" s="154">
        <f t="shared" si="38"/>
        <v>0.10897592670720227</v>
      </c>
      <c r="AJ75" s="154">
        <f t="shared" si="39"/>
        <v>9.1763385750947641</v>
      </c>
      <c r="AK75" s="154">
        <f>MAX(K75:U75)</f>
        <v>325.98988665930102</v>
      </c>
    </row>
    <row r="76" spans="1:38" s="5" customFormat="1">
      <c r="A76" s="258">
        <v>41395</v>
      </c>
      <c r="B76" s="13" t="s">
        <v>10</v>
      </c>
      <c r="C76" s="1" t="s">
        <v>11</v>
      </c>
      <c r="D76" s="1">
        <v>6</v>
      </c>
      <c r="E76" s="30">
        <v>41390</v>
      </c>
      <c r="F76" s="31">
        <v>5.1610367935700703</v>
      </c>
      <c r="G76" s="18">
        <v>47.999433395144401</v>
      </c>
      <c r="H76" s="33">
        <f t="shared" si="31"/>
        <v>2.477268418228562</v>
      </c>
      <c r="I76" s="13">
        <v>105</v>
      </c>
      <c r="J76" s="1"/>
      <c r="K76" s="13">
        <v>652.75414238116196</v>
      </c>
      <c r="L76" s="13">
        <v>819.824297387088</v>
      </c>
      <c r="M76" s="13">
        <v>918.61682108740899</v>
      </c>
      <c r="N76" s="13">
        <v>865.54558514554606</v>
      </c>
      <c r="O76" s="13">
        <v>655.04437040895095</v>
      </c>
      <c r="P76" s="13">
        <v>367.64971284254398</v>
      </c>
      <c r="Q76" s="13">
        <v>205.11483805946199</v>
      </c>
      <c r="R76" s="13">
        <v>124.939474412739</v>
      </c>
      <c r="S76" s="13">
        <v>87.287396675268894</v>
      </c>
      <c r="T76" s="13">
        <v>69.406940502516093</v>
      </c>
      <c r="U76" s="13">
        <v>60.039042142151096</v>
      </c>
      <c r="V76" s="153">
        <f t="shared" si="32"/>
        <v>476.61835789026861</v>
      </c>
      <c r="W76" s="1">
        <v>7.4418789253239401</v>
      </c>
      <c r="X76" s="259">
        <v>5</v>
      </c>
      <c r="Y76" s="1">
        <v>0.26017861140132098</v>
      </c>
      <c r="Z76" s="1">
        <v>0.28296547821165802</v>
      </c>
      <c r="AA76" s="152">
        <f t="shared" si="33"/>
        <v>7.5555921586931002E-2</v>
      </c>
      <c r="AB76" s="1">
        <f>U76/MAX(K76:U76)</f>
        <v>6.5358091386874581E-2</v>
      </c>
      <c r="AC76" s="154">
        <f t="shared" si="34"/>
        <v>3.6725520867925042E-2</v>
      </c>
      <c r="AD76" s="154">
        <f t="shared" si="35"/>
        <v>116.3073994929136</v>
      </c>
      <c r="AE76" s="157">
        <v>9.1882873450354907</v>
      </c>
      <c r="AF76" s="226"/>
      <c r="AG76" s="155">
        <f t="shared" si="36"/>
        <v>8.7507498524147534E-2</v>
      </c>
      <c r="AH76" s="154">
        <f t="shared" si="37"/>
        <v>3.496141418210396E-2</v>
      </c>
      <c r="AI76" s="154">
        <f t="shared" si="38"/>
        <v>0.48607071552519449</v>
      </c>
      <c r="AJ76" s="154">
        <f t="shared" si="39"/>
        <v>2.0573138188740914</v>
      </c>
      <c r="AK76" s="154">
        <f>MAX(K76:U76)</f>
        <v>918.61682108740899</v>
      </c>
    </row>
    <row r="77" spans="1:38">
      <c r="I77" s="5"/>
      <c r="AF77" s="226"/>
    </row>
    <row r="78" spans="1:38">
      <c r="I78" s="5"/>
      <c r="AF78" s="226"/>
    </row>
    <row r="79" spans="1:38" s="153" customFormat="1">
      <c r="A79" s="227">
        <v>41605</v>
      </c>
      <c r="B79" s="153" t="s">
        <v>15</v>
      </c>
      <c r="C79" s="152" t="s">
        <v>84</v>
      </c>
      <c r="D79" s="152">
        <v>10</v>
      </c>
      <c r="E79" s="224">
        <v>41595</v>
      </c>
      <c r="F79" s="153">
        <v>5.8566068695475302</v>
      </c>
      <c r="G79" s="153">
        <v>50.241076606604203</v>
      </c>
      <c r="H79" s="33">
        <f t="shared" ref="H79:H84" si="40">F79*G79/100</f>
        <v>2.942422343877019</v>
      </c>
      <c r="I79" s="153">
        <v>62</v>
      </c>
      <c r="J79" s="153">
        <v>0</v>
      </c>
      <c r="K79" s="153">
        <v>913.19090933774999</v>
      </c>
      <c r="L79" s="153">
        <v>1023.75885850824</v>
      </c>
      <c r="M79" s="153">
        <v>1032.1223356594001</v>
      </c>
      <c r="N79" s="153">
        <v>897.36354503244695</v>
      </c>
      <c r="O79" s="153">
        <v>614.59083874120904</v>
      </c>
      <c r="P79" s="153">
        <v>340.64204460511797</v>
      </c>
      <c r="Q79" s="153">
        <v>186.374197608559</v>
      </c>
      <c r="R79" s="153">
        <v>124.182679233622</v>
      </c>
      <c r="S79" s="153">
        <v>84.037743088511505</v>
      </c>
      <c r="T79" s="153">
        <v>74.566947960618904</v>
      </c>
      <c r="U79" s="153">
        <v>64.375486607402195</v>
      </c>
      <c r="W79" s="153">
        <v>9.6684645151817001</v>
      </c>
      <c r="Y79" s="228">
        <v>0.29198439589096598</v>
      </c>
      <c r="Z79" s="152"/>
      <c r="AA79" s="152">
        <f t="shared" ref="AA79:AA84" si="41">T79/MAX(K79:U79)</f>
        <v>7.2246230300771208E-2</v>
      </c>
      <c r="AC79" s="154">
        <f t="shared" ref="AC79:AC84" si="42">AA79/AJ79</f>
        <v>4.0606239583356483E-2</v>
      </c>
      <c r="AD79" s="154">
        <f t="shared" ref="AD79:AD84" si="43">N79/W79</f>
        <v>92.813449707901498</v>
      </c>
      <c r="AE79" s="153">
        <v>7.5596721873483199</v>
      </c>
      <c r="AF79" s="226"/>
      <c r="AG79" s="155">
        <f t="shared" ref="AG79:AG84" si="44">AE79/I79</f>
        <v>0.12193019657013419</v>
      </c>
      <c r="AH79" s="154">
        <f t="shared" ref="AH79:AH84" si="45">Y79/W79</f>
        <v>3.0199665668988462E-2</v>
      </c>
      <c r="AI79" s="154">
        <f t="shared" ref="AI79:AI84" si="46">(W79*60/MAX(K79:U79))</f>
        <v>0.56205340284616934</v>
      </c>
      <c r="AJ79" s="229">
        <f t="shared" ref="AJ79:AJ84" si="47">1/AI79</f>
        <v>1.7791903668514824</v>
      </c>
    </row>
    <row r="80" spans="1:38" s="232" customFormat="1" ht="15" thickBot="1">
      <c r="A80" s="231">
        <v>41605</v>
      </c>
      <c r="B80" s="232" t="s">
        <v>10</v>
      </c>
      <c r="C80" s="181" t="s">
        <v>84</v>
      </c>
      <c r="D80" s="181">
        <v>10</v>
      </c>
      <c r="E80" s="233">
        <v>41595</v>
      </c>
      <c r="F80" s="232">
        <v>6.8959413084036703</v>
      </c>
      <c r="G80" s="232">
        <v>22.219328327869</v>
      </c>
      <c r="H80" s="33">
        <f t="shared" si="40"/>
        <v>1.5322318406113569</v>
      </c>
      <c r="I80" s="232">
        <v>59</v>
      </c>
      <c r="J80" s="232">
        <v>0</v>
      </c>
      <c r="K80" s="232">
        <v>902.31315735395799</v>
      </c>
      <c r="L80" s="232">
        <v>997.33475312447501</v>
      </c>
      <c r="M80" s="234">
        <v>1080.7743092529299</v>
      </c>
      <c r="N80" s="232">
        <v>1106.9889966186599</v>
      </c>
      <c r="O80" s="232">
        <v>771.21978740495797</v>
      </c>
      <c r="P80" s="232">
        <v>358.34717778900301</v>
      </c>
      <c r="Q80" s="232">
        <v>182.50183292278501</v>
      </c>
      <c r="R80" s="232">
        <v>104.702542132172</v>
      </c>
      <c r="S80" s="232">
        <v>74.539601821384693</v>
      </c>
      <c r="T80" s="232">
        <v>51.139944713199696</v>
      </c>
      <c r="U80" s="232">
        <v>46.654793786823802</v>
      </c>
      <c r="W80" s="232">
        <v>4.6336406202307696</v>
      </c>
      <c r="Y80" s="235">
        <v>0.34970737859210399</v>
      </c>
      <c r="Z80" s="181"/>
      <c r="AA80" s="181">
        <f t="shared" si="41"/>
        <v>4.61973378862921E-2</v>
      </c>
      <c r="AC80" s="154">
        <f t="shared" si="42"/>
        <v>1.1602384234909783E-2</v>
      </c>
      <c r="AD80" s="154">
        <f t="shared" si="43"/>
        <v>238.90264423733589</v>
      </c>
      <c r="AE80" s="232">
        <v>10.5864594295972</v>
      </c>
      <c r="AF80" s="226"/>
      <c r="AG80" s="155">
        <f t="shared" si="44"/>
        <v>0.17943151575588476</v>
      </c>
      <c r="AH80" s="154">
        <f t="shared" si="45"/>
        <v>7.5471407313130706E-2</v>
      </c>
      <c r="AI80" s="154">
        <f t="shared" si="46"/>
        <v>0.2511483294441626</v>
      </c>
      <c r="AJ80" s="154">
        <f t="shared" si="47"/>
        <v>3.9817107372889309</v>
      </c>
    </row>
    <row r="81" spans="1:37" s="11" customFormat="1">
      <c r="A81" s="238">
        <v>41453</v>
      </c>
      <c r="B81" s="5" t="s">
        <v>15</v>
      </c>
      <c r="C81" s="5" t="s">
        <v>12</v>
      </c>
      <c r="D81" s="5">
        <v>10</v>
      </c>
      <c r="E81" s="14">
        <v>41445</v>
      </c>
      <c r="F81" s="35">
        <v>3.5696684967159502</v>
      </c>
      <c r="G81" s="5">
        <v>31.403516692397101</v>
      </c>
      <c r="H81" s="33">
        <f t="shared" si="40"/>
        <v>1.1210014422294341</v>
      </c>
      <c r="I81" s="5">
        <v>52</v>
      </c>
      <c r="J81" s="5"/>
      <c r="K81" s="5">
        <v>1192.86587611453</v>
      </c>
      <c r="L81" s="5">
        <v>1617.1768427756599</v>
      </c>
      <c r="M81" s="239">
        <v>1979.49175527496</v>
      </c>
      <c r="N81" s="5">
        <v>2354.7221368444398</v>
      </c>
      <c r="O81" s="5">
        <v>2281.0556847759899</v>
      </c>
      <c r="P81" s="5">
        <v>1698.0796159384199</v>
      </c>
      <c r="Q81" s="5">
        <v>1216.2832627236</v>
      </c>
      <c r="R81" s="5">
        <v>862.96819770862896</v>
      </c>
      <c r="S81" s="5">
        <v>624.68991636202497</v>
      </c>
      <c r="T81" s="5">
        <v>434.78100130327499</v>
      </c>
      <c r="U81" s="5">
        <v>97.319805477475697</v>
      </c>
      <c r="V81" s="153">
        <f>AVERAGE(K81:T81)</f>
        <v>1426.2114289821532</v>
      </c>
      <c r="W81" s="5">
        <v>6.0420585583922701</v>
      </c>
      <c r="X81" s="5">
        <v>2.52525252525253</v>
      </c>
      <c r="Y81" s="5">
        <v>0.62217152478256699</v>
      </c>
      <c r="Z81" s="5">
        <v>0.31766200762388802</v>
      </c>
      <c r="AA81" s="152">
        <f t="shared" si="41"/>
        <v>0.18464216839016279</v>
      </c>
      <c r="AB81" s="1">
        <f>U81/MAX(K81:U81)</f>
        <v>4.1329634590301957E-2</v>
      </c>
      <c r="AC81" s="154">
        <f t="shared" si="42"/>
        <v>2.8426762792240004E-2</v>
      </c>
      <c r="AD81" s="154">
        <f t="shared" si="43"/>
        <v>389.72183306197667</v>
      </c>
      <c r="AE81" s="157">
        <v>71.424604505321895</v>
      </c>
      <c r="AF81" s="226"/>
      <c r="AG81" s="155">
        <f t="shared" si="44"/>
        <v>1.3735500866408057</v>
      </c>
      <c r="AH81" s="154">
        <f t="shared" si="45"/>
        <v>0.10297343509165202</v>
      </c>
      <c r="AI81" s="154">
        <f t="shared" si="46"/>
        <v>0.15395596271471484</v>
      </c>
      <c r="AJ81" s="229">
        <f t="shared" si="47"/>
        <v>6.4953638843662773</v>
      </c>
      <c r="AK81" s="154">
        <f>MAX(K81:U81)</f>
        <v>2354.7221368444398</v>
      </c>
    </row>
    <row r="82" spans="1:37" s="248" customFormat="1">
      <c r="A82" s="242">
        <v>41396</v>
      </c>
      <c r="B82" s="243" t="s">
        <v>15</v>
      </c>
      <c r="C82" s="160" t="s">
        <v>12</v>
      </c>
      <c r="D82" s="160">
        <v>10</v>
      </c>
      <c r="E82" s="244">
        <v>41390</v>
      </c>
      <c r="F82" s="245">
        <v>6.4210203690949896</v>
      </c>
      <c r="G82" s="246">
        <v>93.896317621734894</v>
      </c>
      <c r="H82" s="161">
        <f t="shared" si="40"/>
        <v>6.0291016803217259</v>
      </c>
      <c r="I82" s="243">
        <v>59</v>
      </c>
      <c r="J82" s="160"/>
      <c r="K82" s="243">
        <v>384.041560143168</v>
      </c>
      <c r="L82" s="243">
        <v>487.02632912194002</v>
      </c>
      <c r="M82" s="243">
        <v>640.42289903407504</v>
      </c>
      <c r="N82" s="243">
        <v>820.52697486112402</v>
      </c>
      <c r="O82" s="243">
        <v>914.30410163908698</v>
      </c>
      <c r="P82" s="243">
        <v>799.36615689294797</v>
      </c>
      <c r="Q82" s="243">
        <v>657.05173773180297</v>
      </c>
      <c r="R82" s="243">
        <v>472.900708657672</v>
      </c>
      <c r="S82" s="243">
        <v>362.154592300697</v>
      </c>
      <c r="T82" s="243">
        <v>256.98580282969903</v>
      </c>
      <c r="U82" s="243">
        <v>155.32438343498299</v>
      </c>
      <c r="V82" s="162">
        <f>AVERAGE(K82:T82)</f>
        <v>579.47808632122144</v>
      </c>
      <c r="W82" s="160">
        <v>1.5610548806045199</v>
      </c>
      <c r="X82" s="160">
        <v>1.7006802721088401</v>
      </c>
      <c r="Y82" s="160">
        <v>0.21956794047548001</v>
      </c>
      <c r="Z82" s="160">
        <v>0.32488628979857098</v>
      </c>
      <c r="AA82" s="163">
        <f t="shared" si="41"/>
        <v>0.28107256914739487</v>
      </c>
      <c r="AB82" s="160">
        <f>U82/MAX(K82:U82)</f>
        <v>0.16988262784398603</v>
      </c>
      <c r="AC82" s="164">
        <f t="shared" si="42"/>
        <v>2.8793682873236793E-2</v>
      </c>
      <c r="AD82" s="164">
        <f t="shared" si="43"/>
        <v>525.6234005965083</v>
      </c>
      <c r="AE82" s="247">
        <v>164.65522140924301</v>
      </c>
      <c r="AF82" s="226"/>
      <c r="AG82" s="166">
        <f t="shared" si="44"/>
        <v>2.7907664645634407</v>
      </c>
      <c r="AH82" s="164">
        <f t="shared" si="45"/>
        <v>0.14065356907276194</v>
      </c>
      <c r="AI82" s="164">
        <f t="shared" si="46"/>
        <v>0.10244216630808019</v>
      </c>
      <c r="AJ82" s="164">
        <f t="shared" si="47"/>
        <v>9.7616053627042874</v>
      </c>
      <c r="AK82" s="164">
        <f>MAX(K82:U82)</f>
        <v>914.30410163908698</v>
      </c>
    </row>
    <row r="83" spans="1:37" s="5" customFormat="1">
      <c r="A83" s="256">
        <v>41414</v>
      </c>
      <c r="B83" s="1" t="s">
        <v>10</v>
      </c>
      <c r="C83" s="1" t="s">
        <v>12</v>
      </c>
      <c r="D83" s="1">
        <v>10</v>
      </c>
      <c r="E83" s="30">
        <v>41411</v>
      </c>
      <c r="F83" s="31">
        <v>5.0444592598674998</v>
      </c>
      <c r="G83" s="33">
        <v>15.878050789414999</v>
      </c>
      <c r="H83" s="33">
        <f t="shared" si="40"/>
        <v>0.80096180333310951</v>
      </c>
      <c r="I83" s="257">
        <v>43</v>
      </c>
      <c r="J83" s="1"/>
      <c r="K83" s="257">
        <v>134.57841014188699</v>
      </c>
      <c r="L83" s="257">
        <v>135.955705998285</v>
      </c>
      <c r="M83" s="257">
        <v>232.69027918864899</v>
      </c>
      <c r="N83" s="257">
        <v>917.54753913745697</v>
      </c>
      <c r="O83" s="1">
        <v>1294.6337637898</v>
      </c>
      <c r="P83" s="1">
        <v>1414.2916286961099</v>
      </c>
      <c r="Q83" s="1">
        <v>1288.2747808821</v>
      </c>
      <c r="R83" s="1">
        <v>1074.24178168967</v>
      </c>
      <c r="S83" s="1">
        <v>380.78891780996599</v>
      </c>
      <c r="T83" s="1">
        <v>472.28970260223099</v>
      </c>
      <c r="U83" s="1">
        <v>243.17211433315001</v>
      </c>
      <c r="V83" s="153">
        <f>AVERAGE(K83:T83)</f>
        <v>734.52925099361551</v>
      </c>
      <c r="W83" s="1">
        <v>1.34272758324597</v>
      </c>
      <c r="X83" s="1">
        <v>0.934579439252336</v>
      </c>
      <c r="Y83" s="1">
        <v>0.38072249850752499</v>
      </c>
      <c r="Z83" s="1">
        <v>0.394011032308905</v>
      </c>
      <c r="AA83" s="152">
        <f t="shared" si="41"/>
        <v>0.33394081745195164</v>
      </c>
      <c r="AB83" s="1">
        <f>U83/MAX(K83:U83)</f>
        <v>0.17193915978795674</v>
      </c>
      <c r="AC83" s="154">
        <f t="shared" si="42"/>
        <v>1.9022592130217106E-2</v>
      </c>
      <c r="AD83" s="154">
        <f t="shared" si="43"/>
        <v>683.34601194334323</v>
      </c>
      <c r="AE83" s="174">
        <v>350.53682603831197</v>
      </c>
      <c r="AF83" s="226"/>
      <c r="AG83" s="155">
        <f t="shared" si="44"/>
        <v>8.152019210193302</v>
      </c>
      <c r="AH83" s="154">
        <f t="shared" si="45"/>
        <v>0.28354411070274532</v>
      </c>
      <c r="AI83" s="154">
        <f t="shared" si="46"/>
        <v>5.6963962283389132E-2</v>
      </c>
      <c r="AJ83" s="154">
        <f t="shared" si="47"/>
        <v>17.554958607428247</v>
      </c>
      <c r="AK83" s="154">
        <f>MAX(K83:U83)</f>
        <v>1414.2916286961099</v>
      </c>
    </row>
    <row r="84" spans="1:37" s="11" customFormat="1">
      <c r="A84" s="258">
        <v>41393</v>
      </c>
      <c r="B84" s="13" t="s">
        <v>10</v>
      </c>
      <c r="C84" s="1" t="s">
        <v>12</v>
      </c>
      <c r="D84" s="1">
        <v>10</v>
      </c>
      <c r="E84" s="30">
        <v>41390</v>
      </c>
      <c r="F84" s="31">
        <v>5.9014600956289103</v>
      </c>
      <c r="G84" s="18">
        <v>53.796523204329603</v>
      </c>
      <c r="H84" s="33">
        <f t="shared" si="40"/>
        <v>3.1747803497392586</v>
      </c>
      <c r="I84" s="13">
        <v>90</v>
      </c>
      <c r="J84" s="1"/>
      <c r="K84" s="13">
        <v>1484.0801867699799</v>
      </c>
      <c r="L84" s="13">
        <v>1609.96245807795</v>
      </c>
      <c r="M84" s="156">
        <v>1671.35107551752</v>
      </c>
      <c r="N84" s="13">
        <v>1570.65230715855</v>
      </c>
      <c r="O84" s="13">
        <v>1167.3040939053999</v>
      </c>
      <c r="P84" s="13">
        <v>653.95160171157602</v>
      </c>
      <c r="Q84" s="13">
        <v>409.55627195582099</v>
      </c>
      <c r="R84" s="13">
        <v>271.86838752642097</v>
      </c>
      <c r="S84" s="13">
        <v>168.39273276922401</v>
      </c>
      <c r="T84" s="13">
        <v>131.30968284366401</v>
      </c>
      <c r="U84" s="13">
        <v>98.325551072189995</v>
      </c>
      <c r="V84" s="153">
        <f>AVERAGE(K84:T84)</f>
        <v>913.84287982361059</v>
      </c>
      <c r="W84" s="1">
        <v>16.128312620651101</v>
      </c>
      <c r="X84" s="1">
        <v>9.6153846153846203</v>
      </c>
      <c r="Y84" s="1">
        <v>0.44285602294610898</v>
      </c>
      <c r="Z84" s="1">
        <v>0.28425241614553698</v>
      </c>
      <c r="AA84" s="152">
        <f t="shared" si="41"/>
        <v>7.8564991381601293E-2</v>
      </c>
      <c r="AB84" s="1">
        <f>U84/MAX(K84:U84)</f>
        <v>5.8829980434687727E-2</v>
      </c>
      <c r="AC84" s="154">
        <f t="shared" si="42"/>
        <v>4.5488494689203636E-2</v>
      </c>
      <c r="AD84" s="154">
        <f t="shared" si="43"/>
        <v>97.384788111525495</v>
      </c>
      <c r="AE84" s="157">
        <v>8.3320509376699494</v>
      </c>
      <c r="AF84" s="226"/>
      <c r="AG84" s="155">
        <f t="shared" si="44"/>
        <v>9.2578343751888323E-2</v>
      </c>
      <c r="AH84" s="154">
        <f t="shared" si="45"/>
        <v>2.7458298543833089E-2</v>
      </c>
      <c r="AI84" s="154">
        <f t="shared" si="46"/>
        <v>0.5789919134371132</v>
      </c>
      <c r="AJ84" s="154">
        <f t="shared" si="47"/>
        <v>1.7271398387304322</v>
      </c>
      <c r="AK84" s="154">
        <f>MAX(K84:U84)</f>
        <v>1671.35107551752</v>
      </c>
    </row>
    <row r="85" spans="1:37">
      <c r="I85" s="5"/>
    </row>
    <row r="86" spans="1:37">
      <c r="I86" s="5"/>
      <c r="K86" s="5">
        <f>AVERAGE(K71:K76)</f>
        <v>578.33078371293948</v>
      </c>
      <c r="L86" s="5">
        <f t="shared" ref="L86:U86" si="48">AVERAGE(L71:L76)</f>
        <v>699.67445899660936</v>
      </c>
      <c r="M86" s="5">
        <f t="shared" si="48"/>
        <v>774.88811712772406</v>
      </c>
      <c r="N86" s="5">
        <f t="shared" si="48"/>
        <v>831.97362243923726</v>
      </c>
      <c r="O86" s="5">
        <f t="shared" si="48"/>
        <v>720.59922514261768</v>
      </c>
      <c r="P86" s="5">
        <f t="shared" si="48"/>
        <v>454.45187231718279</v>
      </c>
      <c r="Q86" s="5">
        <f t="shared" si="48"/>
        <v>293.87587568810784</v>
      </c>
      <c r="R86" s="5">
        <f t="shared" si="48"/>
        <v>203.38327142096031</v>
      </c>
      <c r="S86" s="5">
        <f t="shared" si="48"/>
        <v>151.2637960863442</v>
      </c>
      <c r="T86" s="5">
        <f t="shared" si="48"/>
        <v>113.14748359223681</v>
      </c>
      <c r="U86" s="5">
        <f t="shared" si="48"/>
        <v>95.716732140605828</v>
      </c>
    </row>
    <row r="87" spans="1:37">
      <c r="E87" s="2">
        <f>_xlfn.T.TEST(T71:T76,T79:T84,2,1)</f>
        <v>9.7533518299956351E-2</v>
      </c>
      <c r="I87" s="5"/>
      <c r="AH87" s="11"/>
    </row>
    <row r="88" spans="1:37">
      <c r="E88" s="2">
        <f>_xlfn.T.TEST(W71:W76,W79:W84,2,1)</f>
        <v>0.44946958066659759</v>
      </c>
      <c r="I88" s="5"/>
      <c r="AH88" s="11"/>
    </row>
    <row r="89" spans="1:37">
      <c r="E89" s="2" t="e">
        <f>_xlfn.T.TEST(AF71:AF76,AF79:AF84,2,1)</f>
        <v>#DIV/0!</v>
      </c>
      <c r="I89" s="5"/>
      <c r="K89" s="5">
        <f>AVERAGE(K79:K84)</f>
        <v>835.17834997687885</v>
      </c>
      <c r="L89" s="5">
        <f t="shared" ref="L89:U89" si="49">AVERAGE(L79:L84)</f>
        <v>978.5358246010918</v>
      </c>
      <c r="M89" s="5">
        <f t="shared" si="49"/>
        <v>1106.1421089879225</v>
      </c>
      <c r="N89" s="5">
        <f t="shared" si="49"/>
        <v>1277.9669166087795</v>
      </c>
      <c r="O89" s="5">
        <f t="shared" si="49"/>
        <v>1173.8513783760741</v>
      </c>
      <c r="P89" s="5">
        <f t="shared" si="49"/>
        <v>877.4463709388624</v>
      </c>
      <c r="Q89" s="5">
        <f t="shared" si="49"/>
        <v>656.6736806374447</v>
      </c>
      <c r="R89" s="5">
        <f t="shared" si="49"/>
        <v>485.14404949136434</v>
      </c>
      <c r="S89" s="5">
        <f t="shared" si="49"/>
        <v>282.43391735863469</v>
      </c>
      <c r="T89" s="5">
        <f t="shared" si="49"/>
        <v>236.84551370878125</v>
      </c>
      <c r="U89" s="5">
        <f t="shared" si="49"/>
        <v>117.5286891186708</v>
      </c>
    </row>
    <row r="90" spans="1:37">
      <c r="I90" s="5"/>
    </row>
    <row r="91" spans="1:37">
      <c r="I91" s="5"/>
      <c r="K91" s="11">
        <v>0.5</v>
      </c>
      <c r="L91" s="11">
        <v>1</v>
      </c>
      <c r="M91" s="11">
        <v>2</v>
      </c>
      <c r="N91" s="11">
        <v>5</v>
      </c>
      <c r="O91" s="11">
        <v>10</v>
      </c>
      <c r="P91" s="11">
        <v>20</v>
      </c>
      <c r="Q91" s="11">
        <v>30</v>
      </c>
      <c r="R91" s="11">
        <v>40</v>
      </c>
      <c r="S91" s="11">
        <v>50</v>
      </c>
      <c r="T91" s="11">
        <v>60</v>
      </c>
      <c r="U91" s="11">
        <v>75</v>
      </c>
    </row>
    <row r="92" spans="1:37">
      <c r="I92" s="5"/>
    </row>
    <row r="93" spans="1:37">
      <c r="I93" s="5"/>
      <c r="K93" s="5">
        <f>K89/K86</f>
        <v>1.4441187872015964</v>
      </c>
      <c r="L93" s="5">
        <f t="shared" ref="L93:U93" si="50">L89/L86</f>
        <v>1.398558732591715</v>
      </c>
      <c r="M93" s="5">
        <f t="shared" si="50"/>
        <v>1.427486219672663</v>
      </c>
      <c r="N93" s="5">
        <f t="shared" si="50"/>
        <v>1.536066627763929</v>
      </c>
      <c r="O93" s="5">
        <f t="shared" si="50"/>
        <v>1.6289933952451181</v>
      </c>
      <c r="P93" s="5">
        <f t="shared" si="50"/>
        <v>1.9307795266963987</v>
      </c>
      <c r="Q93" s="5">
        <f t="shared" si="50"/>
        <v>2.2345273462813133</v>
      </c>
      <c r="R93" s="5">
        <f t="shared" si="50"/>
        <v>2.3853685020496052</v>
      </c>
      <c r="S93" s="5">
        <f t="shared" si="50"/>
        <v>1.8671613741427997</v>
      </c>
      <c r="T93" s="5">
        <f t="shared" si="50"/>
        <v>2.0932459670276886</v>
      </c>
      <c r="U93" s="5">
        <f t="shared" si="50"/>
        <v>1.2278802931343673</v>
      </c>
    </row>
    <row r="94" spans="1:37">
      <c r="I94" s="5"/>
    </row>
    <row r="96" spans="1:37">
      <c r="N96" s="2">
        <f>_xlfn.T.TEST(N71:N76,N79:N84,2,1)</f>
        <v>5.0031762896358611E-3</v>
      </c>
      <c r="O96" s="2">
        <f t="shared" ref="O96:V96" si="51">_xlfn.T.TEST(O71:O76,O79:O84,2,1)</f>
        <v>9.5837826510785009E-3</v>
      </c>
      <c r="P96" s="2">
        <f t="shared" si="51"/>
        <v>4.2670452803578743E-2</v>
      </c>
      <c r="Q96" s="2">
        <f t="shared" si="51"/>
        <v>7.3227701113057861E-2</v>
      </c>
      <c r="R96" s="2">
        <f t="shared" si="51"/>
        <v>0.10141974034943795</v>
      </c>
      <c r="S96" s="2">
        <f t="shared" si="51"/>
        <v>3.7772964361592158E-2</v>
      </c>
      <c r="T96" s="2">
        <f t="shared" si="51"/>
        <v>9.7533518299956351E-2</v>
      </c>
      <c r="U96" s="2">
        <f t="shared" si="51"/>
        <v>0.61726817739399031</v>
      </c>
      <c r="V96" s="2">
        <f t="shared" si="51"/>
        <v>7.0033037170217013E-2</v>
      </c>
      <c r="W96" s="2">
        <f>_xlfn.T.TEST(W71:W76,W79:W84,2,1)</f>
        <v>0.44946958066659759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zoomScale="75" zoomScaleNormal="75" zoomScalePageLayoutView="75" workbookViewId="0">
      <selection activeCell="I42" sqref="I42"/>
    </sheetView>
  </sheetViews>
  <sheetFormatPr baseColWidth="10" defaultColWidth="8.83203125" defaultRowHeight="14" x14ac:dyDescent="0"/>
  <cols>
    <col min="1" max="2" width="14" style="2" customWidth="1"/>
    <col min="3" max="3" width="15.33203125" style="2" customWidth="1"/>
    <col min="4" max="4" width="12.83203125" style="2" customWidth="1"/>
    <col min="5" max="5" width="12.5" style="2" bestFit="1" customWidth="1"/>
    <col min="6" max="6" width="12.33203125" style="23" customWidth="1"/>
    <col min="7" max="7" width="12.5" style="2" customWidth="1"/>
    <col min="8" max="8" width="10.33203125" style="5" customWidth="1"/>
    <col min="9" max="9" width="9.83203125" style="5" customWidth="1"/>
    <col min="10" max="10" width="20.6640625" style="5" customWidth="1"/>
    <col min="11" max="12" width="14.33203125" style="5" customWidth="1"/>
    <col min="13" max="13" width="10.5" style="5" customWidth="1"/>
    <col min="14" max="20" width="11.33203125" style="5" bestFit="1" customWidth="1"/>
    <col min="21" max="22" width="12.6640625" style="5" customWidth="1"/>
    <col min="23" max="23" width="10.83203125" style="2" bestFit="1" customWidth="1"/>
    <col min="24" max="24" width="9.83203125" style="2" bestFit="1" customWidth="1"/>
    <col min="25" max="25" width="15.83203125" style="2" bestFit="1" customWidth="1"/>
    <col min="26" max="26" width="13.83203125" style="2" customWidth="1"/>
    <col min="27" max="27" width="12.33203125" style="2" customWidth="1"/>
    <col min="28" max="30" width="9" style="2" bestFit="1" customWidth="1"/>
    <col min="31" max="31" width="18" style="2" customWidth="1"/>
    <col min="32" max="32" width="13" style="2" customWidth="1"/>
    <col min="33" max="33" width="14.6640625" style="2" customWidth="1"/>
    <col min="34" max="34" width="17.5" style="2" customWidth="1"/>
    <col min="35" max="36" width="15" style="2" bestFit="1" customWidth="1"/>
    <col min="37" max="39" width="9" style="2" bestFit="1" customWidth="1"/>
    <col min="40" max="16384" width="8.83203125" style="2"/>
  </cols>
  <sheetData>
    <row r="1" spans="1:39" s="43" customFormat="1" ht="52.5" customHeight="1" thickBot="1">
      <c r="A1" s="51" t="s">
        <v>9</v>
      </c>
      <c r="B1" s="51" t="s">
        <v>0</v>
      </c>
      <c r="C1" s="52" t="s">
        <v>8</v>
      </c>
      <c r="D1" s="52"/>
      <c r="E1" s="52" t="s">
        <v>7</v>
      </c>
      <c r="F1" s="59" t="s">
        <v>27</v>
      </c>
      <c r="G1" s="51" t="s">
        <v>17</v>
      </c>
      <c r="H1" s="51" t="s">
        <v>37</v>
      </c>
      <c r="I1" s="51" t="s">
        <v>62</v>
      </c>
      <c r="J1" s="51" t="s">
        <v>24</v>
      </c>
      <c r="K1" s="51" t="s">
        <v>23</v>
      </c>
      <c r="L1" s="51" t="s">
        <v>22</v>
      </c>
      <c r="M1" s="51" t="s">
        <v>20</v>
      </c>
      <c r="N1" s="51" t="s">
        <v>21</v>
      </c>
      <c r="O1" s="51" t="s">
        <v>1</v>
      </c>
      <c r="P1" s="51" t="s">
        <v>2</v>
      </c>
      <c r="Q1" s="51" t="s">
        <v>3</v>
      </c>
      <c r="R1" s="51" t="s">
        <v>4</v>
      </c>
      <c r="S1" s="51" t="s">
        <v>5</v>
      </c>
      <c r="T1" s="51" t="s">
        <v>6</v>
      </c>
      <c r="U1" s="51" t="s">
        <v>13</v>
      </c>
      <c r="V1" s="51" t="s">
        <v>81</v>
      </c>
      <c r="W1" s="51" t="s">
        <v>42</v>
      </c>
      <c r="X1" s="51" t="s">
        <v>26</v>
      </c>
      <c r="Y1" s="51" t="s">
        <v>40</v>
      </c>
      <c r="Z1" s="51" t="s">
        <v>25</v>
      </c>
      <c r="AA1" s="51" t="s">
        <v>28</v>
      </c>
      <c r="AB1" s="51" t="s">
        <v>36</v>
      </c>
      <c r="AC1" s="52" t="s">
        <v>85</v>
      </c>
      <c r="AD1" s="52" t="s">
        <v>89</v>
      </c>
      <c r="AE1" s="52" t="s">
        <v>74</v>
      </c>
      <c r="AF1" s="53" t="s">
        <v>75</v>
      </c>
      <c r="AG1" s="53"/>
      <c r="AH1" s="53" t="s">
        <v>76</v>
      </c>
      <c r="AI1" s="53" t="s">
        <v>39</v>
      </c>
      <c r="AJ1" s="53" t="s">
        <v>77</v>
      </c>
      <c r="AK1" s="53" t="s">
        <v>39</v>
      </c>
      <c r="AL1" s="53"/>
      <c r="AM1" s="53"/>
    </row>
    <row r="2" spans="1:39" s="10" customFormat="1">
      <c r="A2" s="20">
        <v>41435</v>
      </c>
      <c r="B2" s="10" t="s">
        <v>15</v>
      </c>
      <c r="C2" s="10" t="s">
        <v>16</v>
      </c>
      <c r="D2" s="10">
        <v>2</v>
      </c>
      <c r="E2" s="20">
        <v>41426</v>
      </c>
      <c r="F2" s="32">
        <v>7.9073004338519297</v>
      </c>
      <c r="G2" s="17" t="s">
        <v>19</v>
      </c>
      <c r="H2" s="17"/>
      <c r="I2" s="10">
        <v>91</v>
      </c>
      <c r="K2" s="10">
        <v>106.31256457798401</v>
      </c>
      <c r="L2" s="10">
        <v>128.45852416596401</v>
      </c>
      <c r="M2" s="10">
        <v>172.25842218296901</v>
      </c>
      <c r="N2" s="10">
        <v>240.455567168719</v>
      </c>
      <c r="O2" s="10">
        <v>289.18227042486097</v>
      </c>
      <c r="P2" s="10">
        <v>331.439280166716</v>
      </c>
      <c r="Q2" s="10">
        <v>336.653482801645</v>
      </c>
      <c r="R2" s="10">
        <v>313.98905680523399</v>
      </c>
      <c r="S2" s="10">
        <v>255.846673926292</v>
      </c>
      <c r="T2" s="10">
        <v>212.21105176788399</v>
      </c>
      <c r="U2" s="10">
        <v>108.386122761881</v>
      </c>
      <c r="V2" s="10">
        <f>AVERAGE(K2:T2)</f>
        <v>238.68068939882679</v>
      </c>
      <c r="W2" s="10">
        <v>0.25007847912480702</v>
      </c>
      <c r="Y2" s="10">
        <v>0.11219497296321999</v>
      </c>
      <c r="AA2" s="10">
        <f>T2/MAX(K2:U2)</f>
        <v>0.63035454141705094</v>
      </c>
      <c r="AB2" s="10">
        <f>U2/MAX(K2:U2)</f>
        <v>0.32195158612317609</v>
      </c>
      <c r="AC2" s="10">
        <f>AA2/AJ2</f>
        <v>2.8095019908622967E-2</v>
      </c>
      <c r="AD2" s="10">
        <f>N2/W2</f>
        <v>961.52043154706848</v>
      </c>
      <c r="AE2" s="82">
        <v>1164.68617123694</v>
      </c>
      <c r="AF2" s="10">
        <f>(T2*I2)/W2</f>
        <v>77220.582028730962</v>
      </c>
      <c r="AG2" s="82">
        <f>AE2/I2</f>
        <v>12.798749134471869</v>
      </c>
      <c r="AH2" s="10">
        <f t="shared" ref="AH2:AH35" si="0">Y2/W2</f>
        <v>0.44863905665079917</v>
      </c>
      <c r="AI2" s="10">
        <f>(W2*60/MAX(K2:U2))</f>
        <v>4.4570187192535714E-2</v>
      </c>
      <c r="AJ2" s="10">
        <f>1/AI2</f>
        <v>22.436522325566372</v>
      </c>
      <c r="AK2" s="10">
        <f>MAX(K2:U2)</f>
        <v>336.653482801645</v>
      </c>
    </row>
    <row r="3" spans="1:39" s="10" customFormat="1">
      <c r="A3" s="20">
        <v>41428</v>
      </c>
      <c r="B3" s="10" t="s">
        <v>10</v>
      </c>
      <c r="C3" s="10" t="s">
        <v>16</v>
      </c>
      <c r="D3" s="10">
        <v>2</v>
      </c>
      <c r="E3" s="20">
        <v>41426</v>
      </c>
      <c r="F3" s="32">
        <v>12.2518781903114</v>
      </c>
      <c r="G3" s="17" t="s">
        <v>19</v>
      </c>
      <c r="H3" s="17"/>
      <c r="I3" s="10">
        <v>70</v>
      </c>
      <c r="K3" s="10">
        <v>79.523485967503703</v>
      </c>
      <c r="L3" s="10">
        <v>102.868675895199</v>
      </c>
      <c r="M3" s="10">
        <v>145.637698716839</v>
      </c>
      <c r="N3" s="10">
        <v>182.35708321053201</v>
      </c>
      <c r="O3" s="10">
        <v>185.57724389145801</v>
      </c>
      <c r="P3" s="10">
        <v>199.96204724280801</v>
      </c>
      <c r="Q3" s="10">
        <v>142.427929924322</v>
      </c>
      <c r="R3" s="10">
        <v>100.200631191374</v>
      </c>
      <c r="S3" s="10">
        <v>73.861896202241198</v>
      </c>
      <c r="T3" s="10">
        <v>49.070316393382797</v>
      </c>
      <c r="U3" s="10">
        <v>34.765744155239702</v>
      </c>
      <c r="V3" s="10">
        <f t="shared" ref="V3:V33" si="1">AVERAGE(K3:T3)</f>
        <v>126.14870086356598</v>
      </c>
      <c r="W3" s="10">
        <v>0.181378812064136</v>
      </c>
      <c r="Y3" s="10">
        <v>7.4051782796870302E-2</v>
      </c>
      <c r="AA3" s="10">
        <f t="shared" ref="AA3:AA32" si="2">T3/MAX(K3:U3)</f>
        <v>0.24539814964885892</v>
      </c>
      <c r="AB3" s="10">
        <f t="shared" ref="AB3:AB33" si="3">U3/MAX(K3:U3)</f>
        <v>0.17386171343317308</v>
      </c>
      <c r="AC3" s="10">
        <f t="shared" ref="AC3:AC35" si="4">AA3/AJ3</f>
        <v>1.3355541858000653E-2</v>
      </c>
      <c r="AD3" s="10">
        <f t="shared" ref="AD3:AD35" si="5">N3/W3</f>
        <v>1005.393524939672</v>
      </c>
      <c r="AE3" s="58">
        <v>325.825435160062</v>
      </c>
      <c r="AF3" s="10">
        <f>(T3*I3)/W3</f>
        <v>18937.835728696904</v>
      </c>
      <c r="AG3" s="82">
        <f t="shared" ref="AG3:AG35" si="6">AE3/I3</f>
        <v>4.6546490737151718</v>
      </c>
      <c r="AH3" s="10">
        <f t="shared" si="0"/>
        <v>0.40827140697495257</v>
      </c>
      <c r="AI3" s="10">
        <f t="shared" ref="AI3:AI35" si="7">(W3*60/MAX(K3:U3))</f>
        <v>5.4423971318085095E-2</v>
      </c>
      <c r="AJ3" s="10">
        <f t="shared" ref="AJ3:AJ33" si="8">1/AI3</f>
        <v>18.374256339277832</v>
      </c>
      <c r="AK3" s="10">
        <f t="shared" ref="AK3:AK33" si="9">MAX(K3:U3)</f>
        <v>199.96204724280801</v>
      </c>
    </row>
    <row r="4" spans="1:39" s="10" customFormat="1">
      <c r="A4" s="20">
        <v>41428</v>
      </c>
      <c r="B4" s="10" t="s">
        <v>14</v>
      </c>
      <c r="C4" s="10" t="s">
        <v>16</v>
      </c>
      <c r="D4" s="10">
        <v>2</v>
      </c>
      <c r="E4" s="20">
        <v>41426</v>
      </c>
      <c r="F4" s="32">
        <v>7.8598260723695299</v>
      </c>
      <c r="G4" s="17">
        <v>14.3480781235821</v>
      </c>
      <c r="H4" s="17">
        <f>F4*G4/100</f>
        <v>1.1277339852412547</v>
      </c>
      <c r="I4" s="10">
        <v>88</v>
      </c>
      <c r="K4" s="10">
        <v>91.843013590457602</v>
      </c>
      <c r="L4" s="10">
        <v>109.308768234345</v>
      </c>
      <c r="M4" s="10">
        <v>134.240597088436</v>
      </c>
      <c r="N4" s="10">
        <v>168.16449139294599</v>
      </c>
      <c r="O4" s="10">
        <v>185.89500087284901</v>
      </c>
      <c r="P4" s="10">
        <v>167.33004594867199</v>
      </c>
      <c r="Q4" s="10">
        <v>117.71479521965701</v>
      </c>
      <c r="R4" s="10">
        <v>80.3827565531207</v>
      </c>
      <c r="S4" s="10">
        <v>53.550011960496199</v>
      </c>
      <c r="T4" s="10">
        <v>39.928995356560797</v>
      </c>
      <c r="U4" s="10">
        <v>32.707002671002201</v>
      </c>
      <c r="V4" s="10">
        <f t="shared" si="1"/>
        <v>114.83584762175403</v>
      </c>
      <c r="W4" s="10">
        <v>0.74824456496714897</v>
      </c>
      <c r="Y4" s="10">
        <v>8.4059405279807806E-2</v>
      </c>
      <c r="AA4" s="10">
        <f t="shared" si="2"/>
        <v>0.21479327130411632</v>
      </c>
      <c r="AB4" s="10">
        <f t="shared" si="3"/>
        <v>0.1759434224558496</v>
      </c>
      <c r="AC4" s="10">
        <f t="shared" si="4"/>
        <v>5.1873766510186901E-2</v>
      </c>
      <c r="AD4" s="10">
        <f t="shared" si="5"/>
        <v>224.74535635327882</v>
      </c>
      <c r="AE4" s="58">
        <v>77.590853241275298</v>
      </c>
      <c r="AF4" s="10">
        <f>(T4*I4)/W4</f>
        <v>4695.9934704391981</v>
      </c>
      <c r="AG4" s="82">
        <f t="shared" si="6"/>
        <v>0.88171424137812837</v>
      </c>
      <c r="AH4" s="10">
        <f t="shared" si="0"/>
        <v>0.1123421528407605</v>
      </c>
      <c r="AI4" s="10">
        <f t="shared" si="7"/>
        <v>0.2415055471488263</v>
      </c>
      <c r="AJ4" s="10">
        <f t="shared" si="8"/>
        <v>4.1406916396158646</v>
      </c>
      <c r="AK4" s="10">
        <f t="shared" si="9"/>
        <v>185.89500087284901</v>
      </c>
    </row>
    <row r="5" spans="1:39" s="10" customFormat="1">
      <c r="A5" s="124">
        <v>41395</v>
      </c>
      <c r="B5" s="125" t="s">
        <v>15</v>
      </c>
      <c r="C5" s="10" t="s">
        <v>16</v>
      </c>
      <c r="D5" s="10">
        <v>2</v>
      </c>
      <c r="E5" s="20">
        <v>41390</v>
      </c>
      <c r="F5" s="32">
        <v>9.14489565499915</v>
      </c>
      <c r="G5" s="126">
        <v>44.290980951242297</v>
      </c>
      <c r="H5" s="17">
        <f t="shared" ref="H5:H35" si="10">F5*G5/100</f>
        <v>4.0503639925666581</v>
      </c>
      <c r="I5" s="125">
        <v>68</v>
      </c>
      <c r="K5" s="125">
        <v>154.58394026842601</v>
      </c>
      <c r="L5" s="125">
        <v>177.923437617791</v>
      </c>
      <c r="M5" s="125">
        <v>203.47749446339901</v>
      </c>
      <c r="N5" s="125">
        <v>234.51563266580399</v>
      </c>
      <c r="O5" s="125">
        <v>243.609246941442</v>
      </c>
      <c r="P5" s="125">
        <v>181.31609579673599</v>
      </c>
      <c r="Q5" s="125">
        <v>129.19505263324999</v>
      </c>
      <c r="R5" s="125">
        <v>85.814983036007504</v>
      </c>
      <c r="S5" s="125">
        <v>65.551534718952496</v>
      </c>
      <c r="T5" s="125">
        <v>53.926828542522202</v>
      </c>
      <c r="U5" s="125">
        <v>46.129995185363498</v>
      </c>
      <c r="V5" s="10">
        <f t="shared" si="1"/>
        <v>152.99142466843301</v>
      </c>
      <c r="W5" s="10">
        <v>0.51183143086940897</v>
      </c>
      <c r="X5" s="10">
        <v>1.97628458498024</v>
      </c>
      <c r="Y5" s="10">
        <v>0.14228300243806499</v>
      </c>
      <c r="Z5" s="10">
        <v>0.32071840923668998</v>
      </c>
      <c r="AA5" s="10">
        <f t="shared" si="2"/>
        <v>0.22136609845308933</v>
      </c>
      <c r="AB5" s="10">
        <f t="shared" si="3"/>
        <v>0.18936060828779655</v>
      </c>
      <c r="AC5" s="10">
        <f t="shared" si="4"/>
        <v>2.7905868518478292E-2</v>
      </c>
      <c r="AD5" s="10">
        <f t="shared" si="5"/>
        <v>458.18919769630048</v>
      </c>
      <c r="AE5" s="58">
        <v>89.978088182483503</v>
      </c>
      <c r="AF5" s="10">
        <f>(T5*I5)/W5</f>
        <v>7164.5157364849902</v>
      </c>
      <c r="AG5" s="82">
        <f t="shared" si="6"/>
        <v>1.3232071791541691</v>
      </c>
      <c r="AH5" s="10">
        <f t="shared" si="0"/>
        <v>0.27798801296039932</v>
      </c>
      <c r="AI5" s="10">
        <f t="shared" si="7"/>
        <v>0.12606206963706301</v>
      </c>
      <c r="AJ5" s="10">
        <f t="shared" si="8"/>
        <v>7.9326002093971173</v>
      </c>
      <c r="AK5" s="10">
        <f t="shared" si="9"/>
        <v>243.609246941442</v>
      </c>
    </row>
    <row r="6" spans="1:39" s="10" customFormat="1">
      <c r="A6" s="20">
        <v>41451</v>
      </c>
      <c r="B6" s="10" t="s">
        <v>15</v>
      </c>
      <c r="C6" s="10" t="s">
        <v>16</v>
      </c>
      <c r="D6" s="10">
        <v>2</v>
      </c>
      <c r="E6" s="20">
        <v>41445</v>
      </c>
      <c r="F6" s="32">
        <v>4.0634321243717002</v>
      </c>
      <c r="G6" s="10">
        <v>31.228953646539999</v>
      </c>
      <c r="H6" s="17">
        <f t="shared" si="10"/>
        <v>1.2689673345786538</v>
      </c>
      <c r="I6" s="10">
        <v>63</v>
      </c>
      <c r="K6" s="10">
        <v>430.56252494658497</v>
      </c>
      <c r="L6" s="10">
        <v>514.16888544528194</v>
      </c>
      <c r="M6" s="10">
        <v>592.86245920499596</v>
      </c>
      <c r="N6" s="10">
        <v>592.80808151957001</v>
      </c>
      <c r="O6" s="10">
        <v>447.79824376041898</v>
      </c>
      <c r="P6" s="10">
        <v>222.293569651301</v>
      </c>
      <c r="Q6" s="10">
        <v>91.134160058088995</v>
      </c>
      <c r="R6" s="10">
        <v>51.034985502489199</v>
      </c>
      <c r="S6" s="10">
        <v>29.817938420348099</v>
      </c>
      <c r="T6" s="10">
        <v>21.726012793176999</v>
      </c>
      <c r="U6" s="10">
        <v>16.864000000000001</v>
      </c>
      <c r="V6" s="10">
        <f t="shared" si="1"/>
        <v>299.42068613022559</v>
      </c>
      <c r="W6" s="10">
        <v>2.65535543975211</v>
      </c>
      <c r="X6" s="10">
        <v>4.31034482758621</v>
      </c>
      <c r="Y6" s="10">
        <v>0.31006862946703301</v>
      </c>
      <c r="Z6" s="10">
        <v>0.29620853080568699</v>
      </c>
      <c r="AA6" s="10">
        <f t="shared" si="2"/>
        <v>3.6645958022558357E-2</v>
      </c>
      <c r="AB6" s="10">
        <f t="shared" si="3"/>
        <v>2.8445046128597731E-2</v>
      </c>
      <c r="AC6" s="10">
        <f t="shared" si="4"/>
        <v>9.8479546953214626E-3</v>
      </c>
      <c r="AD6" s="10">
        <f t="shared" si="5"/>
        <v>223.24999231549637</v>
      </c>
      <c r="AE6" s="58">
        <v>7.6562623941996897</v>
      </c>
      <c r="AF6" s="10">
        <f>(T6*I6)/W6</f>
        <v>515.4634989649179</v>
      </c>
      <c r="AG6" s="82">
        <f t="shared" si="6"/>
        <v>0.12152797451110618</v>
      </c>
      <c r="AH6" s="10">
        <f t="shared" si="0"/>
        <v>0.11677104497015262</v>
      </c>
      <c r="AI6" s="10">
        <f t="shared" si="7"/>
        <v>0.2687323575838651</v>
      </c>
      <c r="AJ6" s="10">
        <f t="shared" si="8"/>
        <v>3.7211745135228953</v>
      </c>
      <c r="AK6" s="10">
        <f t="shared" si="9"/>
        <v>592.86245920499596</v>
      </c>
    </row>
    <row r="7" spans="1:39" s="10" customFormat="1">
      <c r="A7" s="20">
        <v>41575</v>
      </c>
      <c r="B7" s="10" t="s">
        <v>69</v>
      </c>
      <c r="C7" s="10" t="s">
        <v>73</v>
      </c>
      <c r="D7" s="10">
        <v>2</v>
      </c>
      <c r="E7" s="17"/>
      <c r="F7" s="10">
        <v>6.78267393548367</v>
      </c>
      <c r="G7" s="10">
        <v>55.940903775564003</v>
      </c>
      <c r="H7" s="17">
        <f t="shared" si="10"/>
        <v>3.7942890996591796</v>
      </c>
      <c r="I7" s="10">
        <v>67</v>
      </c>
      <c r="K7" s="10">
        <v>344.10179130948899</v>
      </c>
      <c r="L7" s="10">
        <v>404.99882946900499</v>
      </c>
      <c r="M7" s="10">
        <v>445.00506053726798</v>
      </c>
      <c r="N7" s="10">
        <v>484.39271906073799</v>
      </c>
      <c r="O7" s="10">
        <v>336.56870233520499</v>
      </c>
      <c r="P7" s="10">
        <v>197.89483957978399</v>
      </c>
      <c r="Q7" s="10">
        <v>103.41168699311299</v>
      </c>
      <c r="R7" s="10">
        <v>59.676272873439999</v>
      </c>
      <c r="S7" s="10">
        <v>42.1396579440922</v>
      </c>
      <c r="T7" s="10">
        <v>35.864305924219003</v>
      </c>
      <c r="U7" s="10">
        <v>13.3487394957983</v>
      </c>
      <c r="V7" s="10">
        <f t="shared" si="1"/>
        <v>245.40538660263533</v>
      </c>
      <c r="W7" s="10">
        <v>2.0684489961076999</v>
      </c>
      <c r="X7" s="10">
        <v>4.1322314049586799</v>
      </c>
      <c r="Y7" s="10">
        <v>0.14920597872783301</v>
      </c>
      <c r="Z7" s="10">
        <v>0.29103608847497098</v>
      </c>
      <c r="AA7" s="10">
        <f t="shared" si="2"/>
        <v>7.4039729568523879E-2</v>
      </c>
      <c r="AC7" s="10">
        <f t="shared" si="4"/>
        <v>1.8969823237028755E-2</v>
      </c>
      <c r="AD7" s="10">
        <f t="shared" si="5"/>
        <v>234.18161142587664</v>
      </c>
      <c r="AE7" s="10">
        <v>17.8731406362229</v>
      </c>
      <c r="AG7" s="82">
        <f t="shared" si="6"/>
        <v>0.26676329307795371</v>
      </c>
      <c r="AH7" s="10">
        <f t="shared" si="0"/>
        <v>7.2134231498384091E-2</v>
      </c>
      <c r="AI7" s="10">
        <f t="shared" si="7"/>
        <v>0.25621140632978884</v>
      </c>
      <c r="AJ7" s="10">
        <f t="shared" si="8"/>
        <v>3.9030268570979438</v>
      </c>
      <c r="AK7" s="10">
        <f t="shared" si="9"/>
        <v>484.39271906073799</v>
      </c>
    </row>
    <row r="8" spans="1:39" s="10" customFormat="1">
      <c r="A8" s="20">
        <v>41575</v>
      </c>
      <c r="B8" s="10" t="s">
        <v>71</v>
      </c>
      <c r="C8" s="10" t="s">
        <v>73</v>
      </c>
      <c r="D8" s="10">
        <v>2</v>
      </c>
      <c r="E8" s="17"/>
      <c r="F8" s="125">
        <v>5.9000329297756302</v>
      </c>
      <c r="G8" s="125">
        <v>55.116545211051097</v>
      </c>
      <c r="H8" s="17">
        <f t="shared" si="10"/>
        <v>3.2518943172066876</v>
      </c>
      <c r="I8" s="125">
        <v>79</v>
      </c>
      <c r="J8" s="125"/>
      <c r="K8" s="125">
        <v>246.09615936620901</v>
      </c>
      <c r="L8" s="125">
        <v>286.65031801444201</v>
      </c>
      <c r="M8" s="125">
        <v>345.65616930933601</v>
      </c>
      <c r="N8" s="125">
        <v>369.81837308494198</v>
      </c>
      <c r="O8" s="125">
        <v>332.09256443360601</v>
      </c>
      <c r="P8" s="125">
        <v>266.25643331356298</v>
      </c>
      <c r="Q8" s="10">
        <v>166.70915026348399</v>
      </c>
      <c r="R8" s="10">
        <v>88.180838213131196</v>
      </c>
      <c r="S8" s="10">
        <v>57.381070674450399</v>
      </c>
      <c r="T8" s="10">
        <v>52.322047679448403</v>
      </c>
      <c r="U8" s="10">
        <v>49.440736988729903</v>
      </c>
      <c r="V8" s="10">
        <f t="shared" si="1"/>
        <v>221.11631243526122</v>
      </c>
      <c r="W8" s="10">
        <v>2.0266194484565898</v>
      </c>
      <c r="X8" s="10">
        <v>5.3763440860215104</v>
      </c>
      <c r="Y8" s="10">
        <v>0.119159384043276</v>
      </c>
      <c r="Z8" s="10">
        <v>0.29205607476635498</v>
      </c>
      <c r="AA8" s="10">
        <f t="shared" si="2"/>
        <v>0.14148039007091401</v>
      </c>
      <c r="AC8" s="10">
        <f t="shared" si="4"/>
        <v>4.6519091147548028E-2</v>
      </c>
      <c r="AD8" s="10">
        <f t="shared" si="5"/>
        <v>182.48042244269595</v>
      </c>
      <c r="AE8" s="10">
        <v>22.110037374663499</v>
      </c>
      <c r="AG8" s="82">
        <f t="shared" si="6"/>
        <v>0.27987389081852532</v>
      </c>
      <c r="AH8" s="10">
        <f t="shared" si="0"/>
        <v>5.8797118587815819E-2</v>
      </c>
      <c r="AI8" s="10">
        <f t="shared" si="7"/>
        <v>0.32880239533006184</v>
      </c>
      <c r="AJ8" s="10">
        <f t="shared" si="8"/>
        <v>3.0413403740449323</v>
      </c>
      <c r="AK8" s="10">
        <f t="shared" si="9"/>
        <v>369.81837308494198</v>
      </c>
    </row>
    <row r="9" spans="1:39" s="10" customFormat="1" ht="13" customHeight="1">
      <c r="A9" s="124">
        <v>41394</v>
      </c>
      <c r="B9" s="125" t="s">
        <v>10</v>
      </c>
      <c r="C9" s="10" t="s">
        <v>16</v>
      </c>
      <c r="D9" s="10">
        <v>2</v>
      </c>
      <c r="E9" s="20">
        <v>41390</v>
      </c>
      <c r="F9" s="32">
        <v>7.7395415061236896</v>
      </c>
      <c r="G9" s="126">
        <v>30.2312471699212</v>
      </c>
      <c r="H9" s="17">
        <f t="shared" si="10"/>
        <v>2.3397599225348946</v>
      </c>
      <c r="I9" s="125">
        <v>74</v>
      </c>
      <c r="K9" s="125">
        <v>315.361585501636</v>
      </c>
      <c r="L9" s="125">
        <v>386.023276725843</v>
      </c>
      <c r="M9" s="125">
        <v>424.89802856947102</v>
      </c>
      <c r="N9" s="125">
        <v>413.27010130939999</v>
      </c>
      <c r="O9" s="125">
        <v>308.15184658604301</v>
      </c>
      <c r="P9" s="125">
        <v>167.22478764478799</v>
      </c>
      <c r="Q9" s="125">
        <v>96.538094607128698</v>
      </c>
      <c r="R9" s="125">
        <v>64.382358463530096</v>
      </c>
      <c r="S9" s="125">
        <v>42.100230134019199</v>
      </c>
      <c r="T9" s="125">
        <v>33.3985424297924</v>
      </c>
      <c r="U9" s="125">
        <v>27.387867864318601</v>
      </c>
      <c r="V9" s="10">
        <f t="shared" si="1"/>
        <v>225.13488519716515</v>
      </c>
      <c r="W9" s="10">
        <v>2.2163828466215501</v>
      </c>
      <c r="X9" s="10">
        <v>5</v>
      </c>
      <c r="Y9" s="10">
        <v>0.13253781078010801</v>
      </c>
      <c r="Z9" s="10">
        <v>0.29533372711163602</v>
      </c>
      <c r="AA9" s="10">
        <f t="shared" si="2"/>
        <v>7.860366531291571E-2</v>
      </c>
      <c r="AB9" s="10">
        <f t="shared" si="3"/>
        <v>6.4457507502510503E-2</v>
      </c>
      <c r="AC9" s="10">
        <f t="shared" si="4"/>
        <v>2.4601076554909458E-2</v>
      </c>
      <c r="AD9" s="10">
        <f t="shared" si="5"/>
        <v>186.46151405627006</v>
      </c>
      <c r="AE9" s="58">
        <v>14.579419899431</v>
      </c>
      <c r="AF9" s="10">
        <f>(T9*I9)/W9</f>
        <v>1115.1016366923939</v>
      </c>
      <c r="AG9" s="82">
        <f t="shared" si="6"/>
        <v>0.19701918783014866</v>
      </c>
      <c r="AH9" s="10">
        <f t="shared" si="0"/>
        <v>5.9799150215467715E-2</v>
      </c>
      <c r="AI9" s="10">
        <f t="shared" si="7"/>
        <v>0.31297620100760298</v>
      </c>
      <c r="AJ9" s="10">
        <f t="shared" si="8"/>
        <v>3.1951311210902822</v>
      </c>
      <c r="AK9" s="10">
        <f t="shared" si="9"/>
        <v>424.89802856947102</v>
      </c>
    </row>
    <row r="10" spans="1:39" s="10" customFormat="1">
      <c r="A10" s="124">
        <v>41394</v>
      </c>
      <c r="B10" s="125" t="s">
        <v>14</v>
      </c>
      <c r="C10" s="10" t="s">
        <v>16</v>
      </c>
      <c r="D10" s="10">
        <v>2</v>
      </c>
      <c r="E10" s="20">
        <v>41390</v>
      </c>
      <c r="F10" s="32">
        <v>2.8312048210099898</v>
      </c>
      <c r="G10" s="126">
        <v>100</v>
      </c>
      <c r="H10" s="17">
        <f t="shared" si="10"/>
        <v>2.8312048210099898</v>
      </c>
      <c r="I10" s="125">
        <v>101</v>
      </c>
      <c r="K10" s="125">
        <v>114.353351152011</v>
      </c>
      <c r="L10" s="125">
        <v>122.45831607928299</v>
      </c>
      <c r="M10" s="125">
        <v>152.716914148797</v>
      </c>
      <c r="N10" s="125">
        <v>147.11820463087801</v>
      </c>
      <c r="O10" s="125">
        <v>112.828014007004</v>
      </c>
      <c r="P10" s="125">
        <v>67.438536733608501</v>
      </c>
      <c r="Q10" s="125">
        <v>47.930977093230901</v>
      </c>
      <c r="R10" s="125">
        <v>33.136964293795501</v>
      </c>
      <c r="S10" s="125">
        <v>29.193679831310199</v>
      </c>
      <c r="T10" s="125">
        <v>27.3254548381903</v>
      </c>
      <c r="U10" s="125">
        <v>25.144597139308502</v>
      </c>
      <c r="V10" s="10">
        <f t="shared" si="1"/>
        <v>85.450041280810836</v>
      </c>
      <c r="W10" s="10">
        <v>1.04661332831543</v>
      </c>
      <c r="X10" s="10">
        <v>6.5789473684210504</v>
      </c>
      <c r="Y10" s="10">
        <v>4.9520931785140498E-2</v>
      </c>
      <c r="Z10" s="10">
        <v>0.282805429864253</v>
      </c>
      <c r="AA10" s="10">
        <f t="shared" si="2"/>
        <v>0.17892880425521321</v>
      </c>
      <c r="AB10" s="10">
        <f t="shared" si="3"/>
        <v>0.16464841029206045</v>
      </c>
      <c r="AC10" s="10">
        <f t="shared" si="4"/>
        <v>7.3575061045531451E-2</v>
      </c>
      <c r="AD10" s="10">
        <f t="shared" si="5"/>
        <v>140.56595750378148</v>
      </c>
      <c r="AE10" s="58">
        <v>31.9246915678462</v>
      </c>
      <c r="AF10" s="10">
        <f>(T10*I10)/W10</f>
        <v>2636.9537478558141</v>
      </c>
      <c r="AG10" s="82">
        <f t="shared" si="6"/>
        <v>0.31608605512719007</v>
      </c>
      <c r="AH10" s="10">
        <f t="shared" si="0"/>
        <v>4.7315403354213546E-2</v>
      </c>
      <c r="AI10" s="10">
        <f t="shared" si="7"/>
        <v>0.41119741090198336</v>
      </c>
      <c r="AJ10" s="10">
        <f t="shared" si="8"/>
        <v>2.4319219272476618</v>
      </c>
      <c r="AK10" s="10">
        <f t="shared" si="9"/>
        <v>152.716914148797</v>
      </c>
    </row>
    <row r="11" spans="1:39" s="10" customFormat="1">
      <c r="A11" s="20">
        <v>41602</v>
      </c>
      <c r="B11" s="10" t="s">
        <v>15</v>
      </c>
      <c r="C11" s="10" t="s">
        <v>83</v>
      </c>
      <c r="D11" s="10">
        <v>2</v>
      </c>
      <c r="E11" s="20"/>
      <c r="F11" s="32">
        <v>6.5313653296896099</v>
      </c>
      <c r="G11" s="17">
        <v>35.273337692107098</v>
      </c>
      <c r="I11" s="10">
        <v>71</v>
      </c>
      <c r="K11" s="10">
        <v>269.79853204102801</v>
      </c>
      <c r="L11" s="10">
        <v>309.78139539746797</v>
      </c>
      <c r="M11" s="10">
        <v>332.15597586859502</v>
      </c>
      <c r="N11" s="10">
        <v>328.40240268498502</v>
      </c>
      <c r="O11" s="10">
        <v>240.34332883744801</v>
      </c>
      <c r="P11" s="10">
        <v>112.462882696211</v>
      </c>
      <c r="Q11" s="10">
        <v>51.950524839689002</v>
      </c>
      <c r="R11" s="10">
        <v>26.730636136062401</v>
      </c>
      <c r="S11" s="10">
        <v>21.530434139486701</v>
      </c>
      <c r="T11" s="10">
        <v>18.342171530143698</v>
      </c>
      <c r="U11" s="10">
        <v>17.204318062138</v>
      </c>
      <c r="W11" s="17">
        <v>2.21320162919453</v>
      </c>
      <c r="Y11" s="10">
        <v>0.116399330598892</v>
      </c>
      <c r="AD11" s="10">
        <f t="shared" si="5"/>
        <v>148.38340906359417</v>
      </c>
      <c r="AE11" s="10">
        <v>7.4789881630570196</v>
      </c>
      <c r="AF11" s="82"/>
    </row>
    <row r="12" spans="1:39" s="29" customFormat="1">
      <c r="A12" s="28">
        <v>41602</v>
      </c>
      <c r="B12" s="29" t="s">
        <v>10</v>
      </c>
      <c r="C12" s="29" t="s">
        <v>83</v>
      </c>
      <c r="D12" s="29">
        <v>2</v>
      </c>
      <c r="E12" s="28"/>
      <c r="F12" s="29">
        <v>5.5742934076403099</v>
      </c>
      <c r="G12" s="29">
        <v>22.739046863503901</v>
      </c>
      <c r="H12" s="131"/>
      <c r="I12" s="29">
        <v>62</v>
      </c>
      <c r="K12" s="29">
        <v>88.168667170571894</v>
      </c>
      <c r="L12" s="29">
        <v>106.04373343802099</v>
      </c>
      <c r="M12" s="29">
        <v>112.20057158463599</v>
      </c>
      <c r="N12" s="29">
        <v>118.294853990852</v>
      </c>
      <c r="O12" s="29">
        <v>119.998611084131</v>
      </c>
      <c r="P12" s="29">
        <v>93.846909903201805</v>
      </c>
      <c r="Q12" s="29">
        <v>57.903940485877001</v>
      </c>
      <c r="R12" s="29">
        <v>35.8567769280383</v>
      </c>
      <c r="S12" s="29">
        <v>27.823107069135698</v>
      </c>
      <c r="T12" s="29">
        <v>22.3458957727578</v>
      </c>
      <c r="U12" s="29">
        <v>19.2575959192726</v>
      </c>
      <c r="W12" s="29">
        <v>0.32186304606773197</v>
      </c>
      <c r="Y12" s="29">
        <v>5.2902833274102397E-2</v>
      </c>
      <c r="AD12" s="29">
        <f t="shared" si="5"/>
        <v>367.53164252959431</v>
      </c>
      <c r="AE12" s="29">
        <v>59.283644191784802</v>
      </c>
      <c r="AF12" s="132"/>
    </row>
    <row r="13" spans="1:39" s="10" customFormat="1">
      <c r="A13" s="20">
        <v>41415</v>
      </c>
      <c r="B13" s="10" t="s">
        <v>10</v>
      </c>
      <c r="C13" s="10" t="s">
        <v>11</v>
      </c>
      <c r="D13" s="10">
        <v>6</v>
      </c>
      <c r="E13" s="20">
        <v>41411</v>
      </c>
      <c r="F13" s="32">
        <v>3.1267225052595702</v>
      </c>
      <c r="G13" s="17">
        <v>99.998775939855506</v>
      </c>
      <c r="H13" s="17">
        <f t="shared" si="10"/>
        <v>3.1266842322955544</v>
      </c>
      <c r="I13" s="38">
        <v>72</v>
      </c>
      <c r="K13" s="38">
        <v>147.021315218632</v>
      </c>
      <c r="L13" s="38">
        <v>187.91852822600799</v>
      </c>
      <c r="M13" s="38">
        <v>248.4171779708</v>
      </c>
      <c r="N13" s="38">
        <v>318.022155939953</v>
      </c>
      <c r="O13" s="10">
        <v>325.98988665930102</v>
      </c>
      <c r="P13" s="10">
        <v>247.45639946956899</v>
      </c>
      <c r="Q13" s="10">
        <v>166.024048467863</v>
      </c>
      <c r="R13" s="10">
        <v>124.07466057670599</v>
      </c>
      <c r="S13" s="10">
        <v>108.004111011953</v>
      </c>
      <c r="T13" s="10">
        <v>71.922962332411203</v>
      </c>
      <c r="U13" s="10">
        <v>80.770394767147295</v>
      </c>
      <c r="V13" s="10">
        <f t="shared" si="1"/>
        <v>194.4851245873196</v>
      </c>
      <c r="W13" s="10">
        <v>0.59208416659788599</v>
      </c>
      <c r="X13" s="10">
        <v>1.7985611510791399</v>
      </c>
      <c r="Y13" s="10">
        <v>0.12673562667909299</v>
      </c>
      <c r="Z13" s="10">
        <v>0.325097529258778</v>
      </c>
      <c r="AA13" s="10">
        <f t="shared" si="2"/>
        <v>0.22062942832204921</v>
      </c>
      <c r="AB13" s="10">
        <f t="shared" si="3"/>
        <v>0.24776963357627765</v>
      </c>
      <c r="AC13" s="10">
        <f t="shared" si="4"/>
        <v>2.4043296410275573E-2</v>
      </c>
      <c r="AD13" s="10">
        <f t="shared" si="5"/>
        <v>537.12322315137635</v>
      </c>
      <c r="AE13" s="58">
        <v>112.477471148756</v>
      </c>
      <c r="AF13" s="10">
        <f>(T13*I13)/W13</f>
        <v>8746.1438425029755</v>
      </c>
      <c r="AG13" s="82">
        <f t="shared" si="6"/>
        <v>1.5621870992882778</v>
      </c>
      <c r="AH13" s="10">
        <f t="shared" si="0"/>
        <v>0.21405001827242834</v>
      </c>
      <c r="AI13" s="10">
        <f t="shared" si="7"/>
        <v>0.10897592670720227</v>
      </c>
      <c r="AJ13" s="10">
        <f t="shared" si="8"/>
        <v>9.1763385750947641</v>
      </c>
      <c r="AK13" s="10">
        <f t="shared" si="9"/>
        <v>325.98988665930102</v>
      </c>
    </row>
    <row r="14" spans="1:39" s="10" customFormat="1">
      <c r="A14" s="124">
        <v>41398</v>
      </c>
      <c r="B14" s="125" t="s">
        <v>15</v>
      </c>
      <c r="C14" s="10" t="s">
        <v>11</v>
      </c>
      <c r="D14" s="10">
        <v>6</v>
      </c>
      <c r="E14" s="20">
        <v>41390</v>
      </c>
      <c r="F14" s="32">
        <v>10.394768354996099</v>
      </c>
      <c r="G14" s="126">
        <v>3.78</v>
      </c>
      <c r="H14" s="17">
        <f t="shared" si="10"/>
        <v>0.39292224381885255</v>
      </c>
      <c r="I14" s="125">
        <v>54</v>
      </c>
      <c r="K14" s="125">
        <v>136.16970255221401</v>
      </c>
      <c r="L14" s="125">
        <v>289.35210902011698</v>
      </c>
      <c r="M14" s="125">
        <v>389.76683739268202</v>
      </c>
      <c r="N14" s="125">
        <v>537.01752410290703</v>
      </c>
      <c r="O14" s="125">
        <v>601.36578782126696</v>
      </c>
      <c r="P14" s="125">
        <v>444.42719187893999</v>
      </c>
      <c r="Q14" s="125">
        <v>291.39319660568799</v>
      </c>
      <c r="R14" s="125">
        <v>189.62695225693801</v>
      </c>
      <c r="S14" s="125">
        <v>119.395040729546</v>
      </c>
      <c r="T14" s="125">
        <v>110.95954372623601</v>
      </c>
      <c r="U14" s="125">
        <v>85.112428424058507</v>
      </c>
      <c r="V14" s="10">
        <f t="shared" si="1"/>
        <v>310.94738860865357</v>
      </c>
      <c r="W14" s="10">
        <v>1.1863803460125499</v>
      </c>
      <c r="X14" s="10">
        <v>1.8518518518518501</v>
      </c>
      <c r="Y14" s="10">
        <v>0.19756079546079899</v>
      </c>
      <c r="Z14" s="10">
        <v>0.32786885245901598</v>
      </c>
      <c r="AA14" s="10">
        <f t="shared" si="2"/>
        <v>0.18451256452123693</v>
      </c>
      <c r="AB14" s="10">
        <f t="shared" si="3"/>
        <v>0.14153187651798199</v>
      </c>
      <c r="AC14" s="10">
        <f t="shared" si="4"/>
        <v>2.1840492216902936E-2</v>
      </c>
      <c r="AD14" s="10">
        <f t="shared" si="5"/>
        <v>452.65207393888022</v>
      </c>
      <c r="AE14" s="58">
        <v>97.800312664386297</v>
      </c>
      <c r="AF14" s="10">
        <f>(T14*I14)/W14</f>
        <v>5050.5012000201841</v>
      </c>
      <c r="AG14" s="82">
        <f t="shared" si="6"/>
        <v>1.8111169011923389</v>
      </c>
      <c r="AH14" s="10">
        <f t="shared" si="0"/>
        <v>0.16652399555067235</v>
      </c>
      <c r="AI14" s="10">
        <f t="shared" si="7"/>
        <v>0.11836859063540439</v>
      </c>
      <c r="AJ14" s="10">
        <f t="shared" si="8"/>
        <v>8.4481870961881427</v>
      </c>
      <c r="AK14" s="10">
        <f t="shared" si="9"/>
        <v>601.36578782126696</v>
      </c>
    </row>
    <row r="15" spans="1:39" s="10" customFormat="1">
      <c r="A15" s="20">
        <v>41430</v>
      </c>
      <c r="B15" s="10" t="s">
        <v>10</v>
      </c>
      <c r="C15" s="10" t="s">
        <v>11</v>
      </c>
      <c r="D15" s="10">
        <v>6</v>
      </c>
      <c r="E15" s="20">
        <v>41426</v>
      </c>
      <c r="F15" s="32">
        <v>10.321522204448</v>
      </c>
      <c r="G15" s="17">
        <v>4.43068481350367</v>
      </c>
      <c r="H15" s="17">
        <f t="shared" si="10"/>
        <v>0.45731411683488671</v>
      </c>
      <c r="I15" s="10">
        <v>76</v>
      </c>
      <c r="J15" s="10" t="s">
        <v>18</v>
      </c>
      <c r="K15" s="10">
        <v>601.55774840251695</v>
      </c>
      <c r="L15" s="10">
        <v>798.56343592995495</v>
      </c>
      <c r="M15" s="10">
        <v>1043.43945173406</v>
      </c>
      <c r="N15" s="10">
        <v>1191.74292961319</v>
      </c>
      <c r="O15" s="10">
        <v>978.99809765377302</v>
      </c>
      <c r="P15" s="10">
        <v>447.22483781278999</v>
      </c>
      <c r="Q15" s="10">
        <v>219.40651129170899</v>
      </c>
      <c r="R15" s="10">
        <v>120.22547996870399</v>
      </c>
      <c r="S15" s="10">
        <v>65.942310941610998</v>
      </c>
      <c r="T15" s="10">
        <v>42.583859981078497</v>
      </c>
      <c r="U15" s="10">
        <v>29.492561915358301</v>
      </c>
      <c r="V15" s="10">
        <f t="shared" si="1"/>
        <v>550.96846633293876</v>
      </c>
      <c r="W15" s="10">
        <v>5.55597831834665</v>
      </c>
      <c r="X15" s="10">
        <v>4.4247787610619502</v>
      </c>
      <c r="Y15" s="10">
        <v>0.36722387316136601</v>
      </c>
      <c r="Z15" s="10">
        <v>0.29308323563892102</v>
      </c>
      <c r="AA15" s="10">
        <f t="shared" si="2"/>
        <v>3.5732420913040498E-2</v>
      </c>
      <c r="AB15" s="10">
        <f>U15/MAX(K15:U15)</f>
        <v>2.4747419248319646E-2</v>
      </c>
      <c r="AC15" s="10">
        <f t="shared" si="4"/>
        <v>9.9952037098802946E-3</v>
      </c>
      <c r="AD15" s="10">
        <f t="shared" si="5"/>
        <v>214.49740465650868</v>
      </c>
      <c r="AE15" s="58">
        <v>7.1647108034074503</v>
      </c>
      <c r="AG15" s="82">
        <f t="shared" si="6"/>
        <v>9.4272510571150658E-2</v>
      </c>
      <c r="AH15" s="10">
        <f t="shared" si="0"/>
        <v>6.6095267497488119E-2</v>
      </c>
      <c r="AI15" s="10">
        <f t="shared" si="7"/>
        <v>0.27972366423772194</v>
      </c>
      <c r="AJ15" s="10">
        <f t="shared" si="8"/>
        <v>3.574956744275144</v>
      </c>
      <c r="AK15" s="10">
        <f t="shared" si="9"/>
        <v>1191.74292961319</v>
      </c>
    </row>
    <row r="16" spans="1:39" s="10" customFormat="1">
      <c r="A16" s="20">
        <v>41437</v>
      </c>
      <c r="B16" s="10" t="s">
        <v>14</v>
      </c>
      <c r="C16" s="10" t="s">
        <v>11</v>
      </c>
      <c r="D16" s="10">
        <v>6</v>
      </c>
      <c r="E16" s="20">
        <v>41426</v>
      </c>
      <c r="F16" s="32">
        <v>5.9977142438621502</v>
      </c>
      <c r="G16" s="10">
        <v>24.83</v>
      </c>
      <c r="H16" s="17">
        <f t="shared" si="10"/>
        <v>1.4892324467509719</v>
      </c>
      <c r="I16" s="10">
        <v>79</v>
      </c>
      <c r="K16" s="10">
        <v>48.088816659321303</v>
      </c>
      <c r="L16" s="10">
        <v>163.98647706677801</v>
      </c>
      <c r="M16" s="10">
        <v>206.21762746808301</v>
      </c>
      <c r="N16" s="10">
        <v>222.38811891663099</v>
      </c>
      <c r="O16" s="10">
        <v>176.91191959154199</v>
      </c>
      <c r="P16" s="10">
        <v>94.065551142078903</v>
      </c>
      <c r="Q16" s="10">
        <v>47.582338042568999</v>
      </c>
      <c r="R16" s="10">
        <v>34.538436382217697</v>
      </c>
      <c r="S16" s="10">
        <v>24.096160289486001</v>
      </c>
      <c r="T16" s="10">
        <v>20.969101568689599</v>
      </c>
      <c r="U16" s="10">
        <v>18.589689265536698</v>
      </c>
      <c r="V16" s="10">
        <f t="shared" si="1"/>
        <v>103.88445471273965</v>
      </c>
      <c r="W16" s="10">
        <v>0.98319201182744698</v>
      </c>
      <c r="X16" s="10">
        <v>4.31034482758621</v>
      </c>
      <c r="Y16" s="10">
        <v>9.2012623984257802E-2</v>
      </c>
      <c r="Z16" s="10">
        <v>0.29463759575721898</v>
      </c>
      <c r="AA16" s="10">
        <f t="shared" si="2"/>
        <v>9.4290565839762822E-2</v>
      </c>
      <c r="AB16" s="10">
        <f t="shared" si="3"/>
        <v>8.3591197929533345E-2</v>
      </c>
      <c r="AC16" s="10">
        <f t="shared" si="4"/>
        <v>2.5011875160227875E-2</v>
      </c>
      <c r="AD16" s="10">
        <f t="shared" si="5"/>
        <v>226.18991635548474</v>
      </c>
      <c r="AE16" s="58">
        <v>17.287320012972302</v>
      </c>
      <c r="AF16" s="10">
        <f>(T16*I16)/W16</f>
        <v>1684.8784408321751</v>
      </c>
      <c r="AG16" s="82">
        <f t="shared" si="6"/>
        <v>0.21882683560724434</v>
      </c>
      <c r="AH16" s="10">
        <f t="shared" si="0"/>
        <v>9.3585609807015274E-2</v>
      </c>
      <c r="AI16" s="10">
        <f t="shared" si="7"/>
        <v>0.26526381443858338</v>
      </c>
      <c r="AJ16" s="10">
        <f t="shared" si="8"/>
        <v>3.7698319392580788</v>
      </c>
      <c r="AK16" s="10">
        <f t="shared" si="9"/>
        <v>222.38811891663099</v>
      </c>
    </row>
    <row r="17" spans="1:37" s="10" customFormat="1">
      <c r="A17" s="20">
        <v>41452</v>
      </c>
      <c r="B17" s="10" t="s">
        <v>15</v>
      </c>
      <c r="C17" s="10" t="s">
        <v>11</v>
      </c>
      <c r="D17" s="10">
        <v>6</v>
      </c>
      <c r="E17" s="20">
        <v>41445</v>
      </c>
      <c r="F17" s="32">
        <v>5.17499281762196</v>
      </c>
      <c r="G17" s="10">
        <v>31.099562851424</v>
      </c>
      <c r="H17" s="17">
        <f t="shared" si="10"/>
        <v>1.6094001438730192</v>
      </c>
      <c r="I17" s="10">
        <v>64</v>
      </c>
      <c r="K17" s="10">
        <v>1957.2034802784201</v>
      </c>
      <c r="L17" s="10">
        <v>2136.9623279195698</v>
      </c>
      <c r="M17" s="10">
        <v>2341.2379350348001</v>
      </c>
      <c r="N17" s="10">
        <v>2259.5489249806701</v>
      </c>
      <c r="O17" s="10">
        <v>1896.38255220418</v>
      </c>
      <c r="P17" s="10">
        <v>1252.1345630317101</v>
      </c>
      <c r="Q17" s="10">
        <v>875.04362016427206</v>
      </c>
      <c r="R17" s="10">
        <v>613.62383730828196</v>
      </c>
      <c r="S17" s="10">
        <v>456.560861932357</v>
      </c>
      <c r="T17" s="10">
        <v>306.11198926933503</v>
      </c>
      <c r="U17" s="10">
        <v>238.60549141592401</v>
      </c>
      <c r="V17" s="10">
        <f t="shared" si="1"/>
        <v>1409.4810092123596</v>
      </c>
      <c r="W17" s="10">
        <v>14.0711431057341</v>
      </c>
      <c r="X17" s="10">
        <v>5.9523809523809499</v>
      </c>
      <c r="Y17" s="10">
        <v>0.58856977914293496</v>
      </c>
      <c r="Z17" s="10">
        <v>0.28409090909090901</v>
      </c>
      <c r="AA17" s="10">
        <f t="shared" si="2"/>
        <v>0.1307479195892941</v>
      </c>
      <c r="AB17" s="10">
        <f t="shared" si="3"/>
        <v>0.10191424282230306</v>
      </c>
      <c r="AC17" s="10">
        <f t="shared" si="4"/>
        <v>4.7148715466818855E-2</v>
      </c>
      <c r="AD17" s="10">
        <f t="shared" si="5"/>
        <v>160.58033864070975</v>
      </c>
      <c r="AE17" s="10">
        <v>21.443220328276698</v>
      </c>
      <c r="AF17" s="10">
        <f>(T17*I17)/W17</f>
        <v>1392.2939427184056</v>
      </c>
      <c r="AG17" s="82">
        <f t="shared" si="6"/>
        <v>0.33505031762932341</v>
      </c>
      <c r="AH17" s="10">
        <f t="shared" si="0"/>
        <v>4.1828142512678176E-2</v>
      </c>
      <c r="AI17" s="10">
        <f t="shared" si="7"/>
        <v>0.36060776810004008</v>
      </c>
      <c r="AJ17" s="10">
        <f>1/AI17</f>
        <v>2.7730961129006495</v>
      </c>
      <c r="AK17" s="10">
        <f t="shared" si="9"/>
        <v>2341.2379350348001</v>
      </c>
    </row>
    <row r="18" spans="1:37" s="10" customFormat="1">
      <c r="A18" s="20">
        <v>41437</v>
      </c>
      <c r="B18" s="10" t="s">
        <v>15</v>
      </c>
      <c r="C18" s="10" t="s">
        <v>11</v>
      </c>
      <c r="D18" s="10">
        <v>6</v>
      </c>
      <c r="E18" s="20">
        <v>41426</v>
      </c>
      <c r="F18" s="32">
        <v>6.2977389180293599</v>
      </c>
      <c r="G18" s="10">
        <v>22.86</v>
      </c>
      <c r="H18" s="17">
        <f t="shared" si="10"/>
        <v>1.4396631166615117</v>
      </c>
      <c r="I18" s="10">
        <v>58</v>
      </c>
      <c r="K18" s="10">
        <v>290.264464278101</v>
      </c>
      <c r="L18" s="10">
        <v>349.64682432528502</v>
      </c>
      <c r="M18" s="10">
        <v>445.81329676108197</v>
      </c>
      <c r="N18" s="10">
        <v>504.55819820075902</v>
      </c>
      <c r="O18" s="127">
        <v>447.92311299972999</v>
      </c>
      <c r="P18" s="10">
        <v>307.07837271273797</v>
      </c>
      <c r="Q18" s="10">
        <v>182.309292580023</v>
      </c>
      <c r="R18" s="10">
        <v>109.33743517686899</v>
      </c>
      <c r="S18" s="10">
        <v>61.835877463326703</v>
      </c>
      <c r="T18" s="10">
        <v>41.931444725249499</v>
      </c>
      <c r="U18" s="10">
        <v>22.323987795827499</v>
      </c>
      <c r="V18" s="10">
        <f t="shared" si="1"/>
        <v>274.06983192231627</v>
      </c>
      <c r="W18" s="10">
        <v>2.59160606426674</v>
      </c>
      <c r="X18" s="10">
        <v>5</v>
      </c>
      <c r="Y18" s="10">
        <v>0.147685471324872</v>
      </c>
      <c r="Z18" s="10">
        <v>0.29797377830750899</v>
      </c>
      <c r="AA18" s="10">
        <f t="shared" si="2"/>
        <v>8.3105268876367294E-2</v>
      </c>
      <c r="AB18" s="10">
        <f>U18/MAX(K18:U18)</f>
        <v>4.4244624060087098E-2</v>
      </c>
      <c r="AC18" s="10">
        <f t="shared" si="4"/>
        <v>2.5611648316551418E-2</v>
      </c>
      <c r="AD18" s="10">
        <f t="shared" si="5"/>
        <v>194.68938785012335</v>
      </c>
      <c r="AE18" s="58">
        <v>15.463031646691499</v>
      </c>
      <c r="AG18" s="82">
        <f t="shared" si="6"/>
        <v>0.26660399390847411</v>
      </c>
      <c r="AH18" s="10">
        <f t="shared" si="0"/>
        <v>5.6986080315666189E-2</v>
      </c>
      <c r="AI18" s="10">
        <f t="shared" si="7"/>
        <v>0.30818320742879662</v>
      </c>
      <c r="AJ18" s="10">
        <f t="shared" si="8"/>
        <v>3.244823130835389</v>
      </c>
      <c r="AK18" s="10">
        <f t="shared" si="9"/>
        <v>504.55819820075902</v>
      </c>
    </row>
    <row r="19" spans="1:37" s="10" customFormat="1">
      <c r="A19" s="124">
        <v>41395</v>
      </c>
      <c r="B19" s="125" t="s">
        <v>10</v>
      </c>
      <c r="C19" s="10" t="s">
        <v>11</v>
      </c>
      <c r="D19" s="10">
        <v>6</v>
      </c>
      <c r="E19" s="20">
        <v>41390</v>
      </c>
      <c r="F19" s="32">
        <v>5.1610367935700703</v>
      </c>
      <c r="G19" s="126">
        <v>47.999433395144401</v>
      </c>
      <c r="H19" s="17">
        <f t="shared" si="10"/>
        <v>2.477268418228562</v>
      </c>
      <c r="I19" s="125">
        <v>105</v>
      </c>
      <c r="K19" s="125">
        <v>652.75414238116196</v>
      </c>
      <c r="L19" s="125">
        <v>819.824297387088</v>
      </c>
      <c r="M19" s="125">
        <v>918.61682108740899</v>
      </c>
      <c r="N19" s="125">
        <v>865.54558514554606</v>
      </c>
      <c r="O19" s="125">
        <v>655.04437040895095</v>
      </c>
      <c r="P19" s="125">
        <v>367.64971284254398</v>
      </c>
      <c r="Q19" s="125">
        <v>205.11483805946199</v>
      </c>
      <c r="R19" s="125">
        <v>124.939474412739</v>
      </c>
      <c r="S19" s="125">
        <v>87.287396675268894</v>
      </c>
      <c r="T19" s="125">
        <v>69.406940502516093</v>
      </c>
      <c r="U19" s="125">
        <v>60.039042142151096</v>
      </c>
      <c r="V19" s="10">
        <f t="shared" si="1"/>
        <v>476.61835789026861</v>
      </c>
      <c r="W19" s="10">
        <v>7.4418789253239401</v>
      </c>
      <c r="X19" s="10">
        <v>5</v>
      </c>
      <c r="Y19" s="10">
        <v>0.26017861140132098</v>
      </c>
      <c r="Z19" s="10">
        <v>0.28296547821165802</v>
      </c>
      <c r="AA19" s="10">
        <f t="shared" si="2"/>
        <v>7.5555921586931002E-2</v>
      </c>
      <c r="AB19" s="10">
        <f>U19/MAX(K19:U19)</f>
        <v>6.5358091386874581E-2</v>
      </c>
      <c r="AC19" s="10">
        <f t="shared" si="4"/>
        <v>3.6725520867925042E-2</v>
      </c>
      <c r="AD19" s="10">
        <f t="shared" si="5"/>
        <v>116.3073994929136</v>
      </c>
      <c r="AE19" s="58">
        <v>9.1882873450354907</v>
      </c>
      <c r="AF19" s="10">
        <f>(T19*I19)/W19</f>
        <v>979.28612194493076</v>
      </c>
      <c r="AG19" s="82">
        <f t="shared" si="6"/>
        <v>8.7507498524147534E-2</v>
      </c>
      <c r="AH19" s="10">
        <f t="shared" si="0"/>
        <v>3.496141418210396E-2</v>
      </c>
      <c r="AI19" s="10">
        <f t="shared" si="7"/>
        <v>0.48607071552519449</v>
      </c>
      <c r="AJ19" s="10">
        <f>1/AI19</f>
        <v>2.0573138188740914</v>
      </c>
      <c r="AK19" s="10">
        <f t="shared" si="9"/>
        <v>918.61682108740899</v>
      </c>
    </row>
    <row r="20" spans="1:37" s="109" customFormat="1">
      <c r="A20" s="20">
        <v>41572</v>
      </c>
      <c r="B20" s="10" t="s">
        <v>69</v>
      </c>
      <c r="C20" s="10" t="s">
        <v>70</v>
      </c>
      <c r="D20" s="10">
        <v>6</v>
      </c>
      <c r="E20" s="10"/>
      <c r="F20" s="10">
        <v>5.8169992159500099</v>
      </c>
      <c r="G20" s="10">
        <v>26.694736213944001</v>
      </c>
      <c r="H20" s="17">
        <f t="shared" si="10"/>
        <v>1.5528325962650458</v>
      </c>
      <c r="I20" s="10">
        <v>88</v>
      </c>
      <c r="J20" s="10"/>
      <c r="K20" s="10">
        <v>324.74437194276999</v>
      </c>
      <c r="L20" s="10">
        <v>753.04004244847204</v>
      </c>
      <c r="M20" s="10">
        <v>931.78832484059001</v>
      </c>
      <c r="N20" s="10">
        <v>966.03426067386999</v>
      </c>
      <c r="O20" s="10">
        <v>874.67268934854405</v>
      </c>
      <c r="P20" s="10">
        <v>606.18562972856796</v>
      </c>
      <c r="Q20" s="10">
        <v>418.70622466625798</v>
      </c>
      <c r="R20" s="10">
        <v>287.957850184996</v>
      </c>
      <c r="S20" s="10">
        <v>177.62715875045299</v>
      </c>
      <c r="T20" s="10">
        <v>130.91477325515399</v>
      </c>
      <c r="U20" s="10">
        <v>60.902322903518701</v>
      </c>
      <c r="V20" s="10">
        <f t="shared" si="1"/>
        <v>547.16713258396749</v>
      </c>
      <c r="W20" s="10">
        <v>5.2579655645439702</v>
      </c>
      <c r="X20" s="10">
        <v>5.2631578947368398</v>
      </c>
      <c r="Y20" s="10">
        <v>0.25933918693409902</v>
      </c>
      <c r="Z20" s="10">
        <v>0.29205607476635498</v>
      </c>
      <c r="AA20" s="10">
        <f t="shared" si="2"/>
        <v>0.13551773325703029</v>
      </c>
      <c r="AB20" s="10"/>
      <c r="AC20" s="10">
        <f t="shared" si="4"/>
        <v>4.4256043736180133E-2</v>
      </c>
      <c r="AD20" s="10">
        <f t="shared" si="5"/>
        <v>183.72776481993856</v>
      </c>
      <c r="AE20" s="10">
        <v>25.557605587870299</v>
      </c>
      <c r="AF20" s="10"/>
      <c r="AG20" s="82">
        <f t="shared" si="6"/>
        <v>0.29042733622579886</v>
      </c>
      <c r="AH20" s="10">
        <f t="shared" si="0"/>
        <v>4.9323104868335479E-2</v>
      </c>
      <c r="AI20" s="10">
        <f t="shared" si="7"/>
        <v>0.32657012977218058</v>
      </c>
      <c r="AJ20" s="10">
        <f t="shared" si="8"/>
        <v>3.0621294136656423</v>
      </c>
      <c r="AK20" s="10">
        <f t="shared" si="9"/>
        <v>966.03426067386999</v>
      </c>
    </row>
    <row r="21" spans="1:37" s="109" customFormat="1">
      <c r="A21" s="20">
        <v>41572</v>
      </c>
      <c r="B21" s="10" t="s">
        <v>71</v>
      </c>
      <c r="C21" s="10" t="s">
        <v>70</v>
      </c>
      <c r="D21" s="10">
        <v>6</v>
      </c>
      <c r="E21" s="10"/>
      <c r="F21" s="10">
        <v>5.7315061971387502</v>
      </c>
      <c r="G21" s="10">
        <v>28.759094227258601</v>
      </c>
      <c r="H21" s="17">
        <f t="shared" si="10"/>
        <v>1.6483292678762993</v>
      </c>
      <c r="I21" s="10">
        <v>76</v>
      </c>
      <c r="J21" s="10"/>
      <c r="K21" s="10">
        <v>344.50207615513699</v>
      </c>
      <c r="L21" s="10">
        <v>416.20657047689201</v>
      </c>
      <c r="M21" s="10">
        <v>516.09141234350602</v>
      </c>
      <c r="N21" s="10">
        <v>590.42444984646897</v>
      </c>
      <c r="O21" s="10">
        <v>580.85213677947695</v>
      </c>
      <c r="P21" s="10">
        <v>397.18082238086402</v>
      </c>
      <c r="Q21" s="10">
        <v>278.12924984950803</v>
      </c>
      <c r="R21" s="10">
        <v>193.24658439447799</v>
      </c>
      <c r="S21" s="10">
        <v>105.83831604637</v>
      </c>
      <c r="T21" s="10">
        <v>77.567501360914505</v>
      </c>
      <c r="U21" s="10">
        <v>47.728384355216399</v>
      </c>
      <c r="V21" s="10">
        <f t="shared" si="1"/>
        <v>350.00391196336153</v>
      </c>
      <c r="W21" s="10">
        <v>1.5988227665571799</v>
      </c>
      <c r="X21" s="10">
        <v>2.6737967914438499</v>
      </c>
      <c r="Y21" s="10">
        <v>0.19601988419618699</v>
      </c>
      <c r="Z21" s="10">
        <v>0.30940594059405901</v>
      </c>
      <c r="AA21" s="10">
        <f t="shared" si="2"/>
        <v>0.13137582866204944</v>
      </c>
      <c r="AB21" s="10"/>
      <c r="AC21" s="10">
        <f t="shared" si="4"/>
        <v>2.1345321918306678E-2</v>
      </c>
      <c r="AD21" s="10">
        <f t="shared" si="5"/>
        <v>369.28699177699207</v>
      </c>
      <c r="AE21" s="10">
        <v>46.742279570449398</v>
      </c>
      <c r="AF21" s="10"/>
      <c r="AG21" s="82">
        <f t="shared" si="6"/>
        <v>0.61502999434801842</v>
      </c>
      <c r="AH21" s="10">
        <f t="shared" si="0"/>
        <v>0.12260263507398372</v>
      </c>
      <c r="AI21" s="10">
        <f t="shared" si="7"/>
        <v>0.16247525999029305</v>
      </c>
      <c r="AJ21" s="10">
        <f>1/AI21</f>
        <v>6.1547831962832014</v>
      </c>
      <c r="AK21" s="10">
        <f t="shared" si="9"/>
        <v>590.42444984646897</v>
      </c>
    </row>
    <row r="22" spans="1:37" s="10" customFormat="1">
      <c r="A22" s="20">
        <v>41599</v>
      </c>
      <c r="B22" s="10" t="s">
        <v>15</v>
      </c>
      <c r="C22" s="10" t="s">
        <v>70</v>
      </c>
      <c r="D22" s="32">
        <v>6</v>
      </c>
      <c r="E22" s="20">
        <v>41595</v>
      </c>
      <c r="F22" s="10">
        <v>5.7218315442144201</v>
      </c>
      <c r="G22" s="10">
        <v>33.456858089655199</v>
      </c>
      <c r="H22" s="17">
        <f t="shared" si="10"/>
        <v>1.9143450598769454</v>
      </c>
      <c r="I22" s="10">
        <v>76</v>
      </c>
      <c r="K22" s="10">
        <v>254.06324467148099</v>
      </c>
      <c r="L22" s="10">
        <v>328.070828398635</v>
      </c>
      <c r="M22" s="10">
        <v>432.68758313614001</v>
      </c>
      <c r="N22" s="10">
        <v>492.48403491945697</v>
      </c>
      <c r="O22" s="10">
        <v>417.54228340171699</v>
      </c>
      <c r="P22" s="10">
        <v>201.256987004423</v>
      </c>
      <c r="Q22" s="10">
        <v>103.362784220252</v>
      </c>
      <c r="R22" s="10">
        <v>75.005582974980499</v>
      </c>
      <c r="S22" s="10">
        <v>58.718144235186003</v>
      </c>
      <c r="T22" s="10">
        <v>53.594990322213398</v>
      </c>
      <c r="U22" s="10">
        <v>48.223919915700698</v>
      </c>
      <c r="W22" s="10">
        <v>1.6149304873052901</v>
      </c>
      <c r="Y22" s="10">
        <v>0.163890638809956</v>
      </c>
      <c r="Z22" s="10">
        <f>T22/MAX(K22:U22)</f>
        <v>0.10882584311789632</v>
      </c>
      <c r="AA22" s="10">
        <f t="shared" si="2"/>
        <v>0.10882584311789632</v>
      </c>
      <c r="AC22" s="10">
        <f t="shared" si="4"/>
        <v>2.1411395220541796E-2</v>
      </c>
      <c r="AD22" s="10">
        <f t="shared" si="5"/>
        <v>304.9568007978022</v>
      </c>
      <c r="AE22" s="10">
        <v>30.875490968013199</v>
      </c>
      <c r="AF22" s="82"/>
      <c r="AG22" s="82">
        <f t="shared" si="6"/>
        <v>0.40625646010543681</v>
      </c>
      <c r="AH22" s="10">
        <f t="shared" si="0"/>
        <v>0.10148463980231599</v>
      </c>
      <c r="AI22" s="10">
        <f t="shared" si="7"/>
        <v>0.19674917838537481</v>
      </c>
      <c r="AJ22" s="10">
        <f>1/AI22</f>
        <v>5.0826133466300369</v>
      </c>
    </row>
    <row r="23" spans="1:37" s="10" customFormat="1">
      <c r="A23" s="20">
        <v>41599</v>
      </c>
      <c r="B23" s="10" t="s">
        <v>10</v>
      </c>
      <c r="C23" s="10" t="s">
        <v>70</v>
      </c>
      <c r="D23" s="32">
        <v>6</v>
      </c>
      <c r="E23" s="20">
        <v>41595</v>
      </c>
      <c r="F23" s="10">
        <v>7.6640242883995802</v>
      </c>
      <c r="G23" s="10">
        <v>33.4134032047793</v>
      </c>
      <c r="H23" s="17">
        <f t="shared" si="10"/>
        <v>2.5608113371951693</v>
      </c>
      <c r="I23" s="10">
        <v>60</v>
      </c>
      <c r="K23" s="10">
        <v>322.77281717572799</v>
      </c>
      <c r="L23" s="10">
        <v>435.91866302823797</v>
      </c>
      <c r="M23" s="10">
        <v>318.60234814451297</v>
      </c>
      <c r="N23" s="10">
        <v>519.22350954689</v>
      </c>
      <c r="O23" s="10">
        <v>427.27047036029001</v>
      </c>
      <c r="P23" s="10">
        <v>213.78637967591101</v>
      </c>
      <c r="Q23" s="10">
        <v>122.31676661111</v>
      </c>
      <c r="R23" s="10">
        <v>93.029120996116504</v>
      </c>
      <c r="S23" s="10">
        <v>77.617221933754394</v>
      </c>
      <c r="T23" s="10">
        <v>66.888475400709098</v>
      </c>
      <c r="U23" s="10">
        <v>61.549116178653399</v>
      </c>
      <c r="W23" s="10">
        <v>2.2073858121706902</v>
      </c>
      <c r="Y23" s="10">
        <v>0.16225031595131201</v>
      </c>
      <c r="Z23" s="10">
        <f>T23/MAX(K23:U23)</f>
        <v>0.12882405008794875</v>
      </c>
      <c r="AA23" s="10">
        <f t="shared" si="2"/>
        <v>0.12882405008794875</v>
      </c>
      <c r="AC23" s="10">
        <f t="shared" si="4"/>
        <v>3.2860343401475818E-2</v>
      </c>
      <c r="AD23" s="10">
        <f t="shared" si="5"/>
        <v>235.2210051745771</v>
      </c>
      <c r="AE23" s="10">
        <v>28.922762935912399</v>
      </c>
      <c r="AF23" s="82"/>
      <c r="AG23" s="82">
        <f t="shared" si="6"/>
        <v>0.48204604893187331</v>
      </c>
      <c r="AH23" s="10">
        <f t="shared" si="0"/>
        <v>7.3503379000048455E-2</v>
      </c>
      <c r="AI23" s="10">
        <f t="shared" si="7"/>
        <v>0.25507926027043798</v>
      </c>
      <c r="AJ23" s="10">
        <f t="shared" si="8"/>
        <v>3.9203500862429523</v>
      </c>
    </row>
    <row r="24" spans="1:37" s="134" customFormat="1">
      <c r="A24" s="28"/>
      <c r="B24" s="29" t="s">
        <v>15</v>
      </c>
      <c r="C24" s="29"/>
      <c r="D24" s="29">
        <v>6</v>
      </c>
      <c r="E24" s="29" t="s">
        <v>60</v>
      </c>
      <c r="F24" s="29">
        <v>4.2608576866868404</v>
      </c>
      <c r="G24" s="29">
        <v>23.717639424309699</v>
      </c>
      <c r="H24" s="131">
        <f>F24*G24/100</f>
        <v>1.0105748625113682</v>
      </c>
      <c r="I24" s="29">
        <v>100</v>
      </c>
      <c r="J24" s="29" t="s">
        <v>43</v>
      </c>
      <c r="K24" s="29">
        <v>327.636220403994</v>
      </c>
      <c r="L24" s="29">
        <v>420.05424597444102</v>
      </c>
      <c r="M24" s="29">
        <v>537.85393868334199</v>
      </c>
      <c r="N24" s="29">
        <v>582.11583724161903</v>
      </c>
      <c r="O24" s="29">
        <v>477.53601129084802</v>
      </c>
      <c r="P24" s="29">
        <v>275.13997970518</v>
      </c>
      <c r="Q24" s="29">
        <v>151.96589007594301</v>
      </c>
      <c r="R24" s="29">
        <v>87.931584667061799</v>
      </c>
      <c r="S24" s="29">
        <v>59.478912386707002</v>
      </c>
      <c r="T24" s="29">
        <v>48.388302354399002</v>
      </c>
      <c r="U24" s="29">
        <v>39.883388445827698</v>
      </c>
      <c r="V24" s="29">
        <f>AVERAGE(K24:T24)</f>
        <v>296.81009227835352</v>
      </c>
      <c r="W24" s="29">
        <v>2.5331395662252199</v>
      </c>
      <c r="X24" s="29">
        <v>4.31034482758621</v>
      </c>
      <c r="Y24" s="29">
        <v>0.19743591310037301</v>
      </c>
      <c r="Z24" s="29">
        <v>0.30156815440289497</v>
      </c>
      <c r="AA24" s="29">
        <f>T24/MAX(K24:U24)</f>
        <v>8.3124868383050804E-2</v>
      </c>
      <c r="AB24" s="29">
        <f>U24/MAX(L24:W24)</f>
        <v>6.8514522186540833E-2</v>
      </c>
      <c r="AC24" s="29">
        <f>AA24/AJ24</f>
        <v>2.1703607381941381E-2</v>
      </c>
      <c r="AD24" s="29">
        <f t="shared" si="5"/>
        <v>229.80014405959639</v>
      </c>
      <c r="AE24" s="133">
        <v>17.678138884859202</v>
      </c>
      <c r="AF24" s="29"/>
      <c r="AG24" s="132">
        <f>AE24/I24</f>
        <v>0.17678138884859201</v>
      </c>
      <c r="AH24" s="29">
        <f>Y24/W24</f>
        <v>7.7941190344511441E-2</v>
      </c>
      <c r="AI24" s="29">
        <f>(W24*60/MAX(K24:U24))</f>
        <v>0.26109644206506505</v>
      </c>
      <c r="AJ24" s="29">
        <f>1/AI24</f>
        <v>3.8300024009932723</v>
      </c>
      <c r="AK24" s="29">
        <f>MAX(K24:U24)</f>
        <v>582.11583724161903</v>
      </c>
    </row>
    <row r="25" spans="1:37" s="10" customFormat="1">
      <c r="A25" s="124">
        <v>41396</v>
      </c>
      <c r="B25" s="125" t="s">
        <v>15</v>
      </c>
      <c r="C25" s="10" t="s">
        <v>12</v>
      </c>
      <c r="D25" s="10">
        <v>10</v>
      </c>
      <c r="E25" s="20">
        <v>41390</v>
      </c>
      <c r="F25" s="32">
        <v>6.4210203690949896</v>
      </c>
      <c r="G25" s="126">
        <v>93.896317621734894</v>
      </c>
      <c r="H25" s="17">
        <f t="shared" si="10"/>
        <v>6.0291016803217259</v>
      </c>
      <c r="I25" s="125">
        <v>59</v>
      </c>
      <c r="K25" s="125">
        <v>384.041560143168</v>
      </c>
      <c r="L25" s="125">
        <v>487.02632912194002</v>
      </c>
      <c r="M25" s="125">
        <v>640.42289903407504</v>
      </c>
      <c r="N25" s="125">
        <v>820.52697486112402</v>
      </c>
      <c r="O25" s="125">
        <v>914.30410163908698</v>
      </c>
      <c r="P25" s="125">
        <v>799.36615689294797</v>
      </c>
      <c r="Q25" s="125">
        <v>657.05173773180297</v>
      </c>
      <c r="R25" s="125">
        <v>472.900708657672</v>
      </c>
      <c r="S25" s="125">
        <v>362.154592300697</v>
      </c>
      <c r="T25" s="125">
        <v>256.98580282969903</v>
      </c>
      <c r="U25" s="125">
        <v>155.32438343498299</v>
      </c>
      <c r="V25" s="10">
        <f t="shared" si="1"/>
        <v>579.47808632122144</v>
      </c>
      <c r="W25" s="10">
        <v>1.5610548806045199</v>
      </c>
      <c r="X25" s="10">
        <v>1.7006802721088401</v>
      </c>
      <c r="Y25" s="10">
        <v>0.21956794047548001</v>
      </c>
      <c r="Z25" s="10">
        <v>0.32488628979857098</v>
      </c>
      <c r="AA25" s="10">
        <f t="shared" si="2"/>
        <v>0.28107256914739487</v>
      </c>
      <c r="AB25" s="10">
        <f>U25/MAX(K25:U25)</f>
        <v>0.16988262784398603</v>
      </c>
      <c r="AC25" s="10">
        <f t="shared" si="4"/>
        <v>2.8793682873236793E-2</v>
      </c>
      <c r="AD25" s="10">
        <f t="shared" si="5"/>
        <v>525.6234005965083</v>
      </c>
      <c r="AE25" s="58">
        <v>164.65522140924301</v>
      </c>
      <c r="AF25" s="10">
        <f>(T25*I25)/W25/100</f>
        <v>97.127670239759169</v>
      </c>
      <c r="AG25" s="82">
        <f t="shared" si="6"/>
        <v>2.7907664645634407</v>
      </c>
      <c r="AH25" s="10">
        <f t="shared" si="0"/>
        <v>0.14065356907276194</v>
      </c>
      <c r="AI25" s="10">
        <f t="shared" si="7"/>
        <v>0.10244216630808019</v>
      </c>
      <c r="AJ25" s="10">
        <f t="shared" si="8"/>
        <v>9.7616053627042874</v>
      </c>
      <c r="AK25" s="10">
        <f t="shared" si="9"/>
        <v>914.30410163908698</v>
      </c>
    </row>
    <row r="26" spans="1:37" s="10" customFormat="1">
      <c r="A26" s="20">
        <v>41414</v>
      </c>
      <c r="B26" s="10" t="s">
        <v>15</v>
      </c>
      <c r="C26" s="10" t="s">
        <v>12</v>
      </c>
      <c r="D26" s="10">
        <v>10</v>
      </c>
      <c r="E26" s="20">
        <v>41411</v>
      </c>
      <c r="F26" s="32"/>
      <c r="G26" s="17">
        <v>21.199173753946599</v>
      </c>
      <c r="H26" s="17">
        <f t="shared" si="10"/>
        <v>0</v>
      </c>
      <c r="I26" s="38">
        <v>52</v>
      </c>
      <c r="J26" s="10" t="s">
        <v>38</v>
      </c>
      <c r="K26" s="38">
        <v>1347.14890169247</v>
      </c>
      <c r="L26" s="38">
        <v>1742.55533327999</v>
      </c>
      <c r="M26" s="38">
        <v>1887.6065055613301</v>
      </c>
      <c r="N26" s="38">
        <v>1936.8378010722599</v>
      </c>
      <c r="O26" s="125">
        <v>1852.92338161159</v>
      </c>
      <c r="P26" s="125">
        <v>1499.2790269664699</v>
      </c>
      <c r="Q26" s="125">
        <v>1271.2311754821201</v>
      </c>
      <c r="R26" s="125">
        <v>1112.3262978893699</v>
      </c>
      <c r="S26" s="125">
        <v>1057.5889413459199</v>
      </c>
      <c r="T26" s="10">
        <v>1052.03831149345</v>
      </c>
      <c r="U26" s="10">
        <v>906.34135211944101</v>
      </c>
      <c r="V26" s="10">
        <f t="shared" si="1"/>
        <v>1475.9535676394969</v>
      </c>
      <c r="W26" s="10">
        <v>8.3189303028772006</v>
      </c>
      <c r="X26" s="10">
        <v>5.4347826086956497</v>
      </c>
      <c r="Y26" s="10">
        <v>0.205678123204945</v>
      </c>
      <c r="Z26" s="10">
        <v>0.29429075927015902</v>
      </c>
      <c r="AA26" s="10">
        <f>T26/MAX(K26:U26)</f>
        <v>0.54317316138244887</v>
      </c>
      <c r="AB26" s="10">
        <f>U30/MAX(K30:U30)</f>
        <v>9.3185369499291917E-2</v>
      </c>
      <c r="AC26" s="10">
        <f t="shared" si="4"/>
        <v>0.13997929003964582</v>
      </c>
      <c r="AD26" s="10">
        <f t="shared" si="5"/>
        <v>232.82293883414093</v>
      </c>
      <c r="AE26" s="58">
        <v>105.111939743034</v>
      </c>
      <c r="AG26" s="82">
        <f t="shared" si="6"/>
        <v>2.0213834565968076</v>
      </c>
      <c r="AH26" s="10">
        <f t="shared" si="0"/>
        <v>2.4724107032584319E-2</v>
      </c>
      <c r="AI26" s="10">
        <f t="shared" si="7"/>
        <v>0.2577065657724687</v>
      </c>
      <c r="AJ26" s="10">
        <f t="shared" si="8"/>
        <v>3.880382313902349</v>
      </c>
      <c r="AK26" s="10">
        <f t="shared" si="9"/>
        <v>1936.8378010722599</v>
      </c>
    </row>
    <row r="27" spans="1:37" s="10" customFormat="1">
      <c r="A27" s="20">
        <v>41414</v>
      </c>
      <c r="B27" s="10" t="s">
        <v>10</v>
      </c>
      <c r="C27" s="10" t="s">
        <v>12</v>
      </c>
      <c r="D27" s="10">
        <v>10</v>
      </c>
      <c r="E27" s="20">
        <v>41411</v>
      </c>
      <c r="F27" s="32">
        <v>5.0444592598674998</v>
      </c>
      <c r="G27" s="17">
        <v>15.878050789414999</v>
      </c>
      <c r="H27" s="17">
        <f t="shared" si="10"/>
        <v>0.80096180333310951</v>
      </c>
      <c r="I27" s="38">
        <v>43</v>
      </c>
      <c r="K27" s="38">
        <v>134.57841014188699</v>
      </c>
      <c r="L27" s="38">
        <v>135.955705998285</v>
      </c>
      <c r="M27" s="38">
        <v>232.69027918864899</v>
      </c>
      <c r="N27" s="38">
        <v>917.54753913745697</v>
      </c>
      <c r="O27" s="10">
        <v>1294.6337637898</v>
      </c>
      <c r="P27" s="10">
        <v>1414.2916286961099</v>
      </c>
      <c r="Q27" s="10">
        <v>1288.2747808821</v>
      </c>
      <c r="R27" s="10">
        <v>1074.24178168967</v>
      </c>
      <c r="S27" s="10">
        <v>380.78891780996599</v>
      </c>
      <c r="T27" s="10">
        <v>472.28970260223099</v>
      </c>
      <c r="U27" s="10">
        <v>243.17211433315001</v>
      </c>
      <c r="V27" s="10">
        <f t="shared" si="1"/>
        <v>734.52925099361551</v>
      </c>
      <c r="W27" s="10">
        <v>1.34272758324597</v>
      </c>
      <c r="X27" s="10">
        <v>0.934579439252336</v>
      </c>
      <c r="Y27" s="10">
        <v>0.38072249850752499</v>
      </c>
      <c r="Z27" s="10">
        <v>0.394011032308905</v>
      </c>
      <c r="AA27" s="10">
        <f t="shared" si="2"/>
        <v>0.33394081745195164</v>
      </c>
      <c r="AB27" s="10">
        <f t="shared" si="3"/>
        <v>0.17193915978795674</v>
      </c>
      <c r="AC27" s="10">
        <f t="shared" si="4"/>
        <v>1.9022592130217106E-2</v>
      </c>
      <c r="AD27" s="10">
        <f t="shared" si="5"/>
        <v>683.34601194334323</v>
      </c>
      <c r="AE27" s="82">
        <v>350.53682603831197</v>
      </c>
      <c r="AF27" s="10">
        <f t="shared" ref="AF27:AF32" si="11">(T27*I27)/W27/100</f>
        <v>151.24778447465388</v>
      </c>
      <c r="AG27" s="82">
        <f t="shared" si="6"/>
        <v>8.152019210193302</v>
      </c>
      <c r="AH27" s="10">
        <f t="shared" si="0"/>
        <v>0.28354411070274532</v>
      </c>
      <c r="AI27" s="10">
        <f t="shared" si="7"/>
        <v>5.6963962283389132E-2</v>
      </c>
      <c r="AJ27" s="10">
        <f t="shared" si="8"/>
        <v>17.554958607428247</v>
      </c>
      <c r="AK27" s="10">
        <f t="shared" si="9"/>
        <v>1414.2916286961099</v>
      </c>
    </row>
    <row r="28" spans="1:37" s="10" customFormat="1">
      <c r="A28" s="20">
        <v>41453</v>
      </c>
      <c r="B28" s="10" t="s">
        <v>15</v>
      </c>
      <c r="C28" s="10" t="s">
        <v>12</v>
      </c>
      <c r="D28" s="10">
        <v>10</v>
      </c>
      <c r="E28" s="20">
        <v>41445</v>
      </c>
      <c r="F28" s="32">
        <v>3.5696684967159502</v>
      </c>
      <c r="G28" s="10">
        <v>31.403516692397101</v>
      </c>
      <c r="H28" s="17">
        <f t="shared" si="10"/>
        <v>1.1210014422294341</v>
      </c>
      <c r="I28" s="10">
        <v>52</v>
      </c>
      <c r="K28" s="10">
        <v>1192.86587611453</v>
      </c>
      <c r="L28" s="10">
        <v>1617.1768427756599</v>
      </c>
      <c r="M28" s="10">
        <v>1979.49175527496</v>
      </c>
      <c r="N28" s="10">
        <v>2354.7221368444398</v>
      </c>
      <c r="O28" s="10">
        <v>2281.0556847759899</v>
      </c>
      <c r="P28" s="10">
        <v>1698.0796159384199</v>
      </c>
      <c r="Q28" s="10">
        <v>1216.2832627236</v>
      </c>
      <c r="R28" s="10">
        <v>862.96819770862896</v>
      </c>
      <c r="S28" s="10">
        <v>624.68991636202497</v>
      </c>
      <c r="T28" s="10">
        <v>434.78100130327499</v>
      </c>
      <c r="U28" s="10">
        <v>97.319805477475697</v>
      </c>
      <c r="V28" s="10">
        <f t="shared" si="1"/>
        <v>1426.2114289821532</v>
      </c>
      <c r="W28" s="10">
        <v>6.0420585583922701</v>
      </c>
      <c r="X28" s="10">
        <v>2.52525252525253</v>
      </c>
      <c r="Y28" s="10">
        <v>0.62217152478256699</v>
      </c>
      <c r="Z28" s="10">
        <v>0.31766200762388802</v>
      </c>
      <c r="AA28" s="10">
        <f t="shared" si="2"/>
        <v>0.18464216839016279</v>
      </c>
      <c r="AB28" s="10">
        <f t="shared" si="3"/>
        <v>4.1329634590301957E-2</v>
      </c>
      <c r="AC28" s="10">
        <f t="shared" si="4"/>
        <v>2.8426762792240004E-2</v>
      </c>
      <c r="AD28" s="10">
        <f t="shared" si="5"/>
        <v>389.72183306197667</v>
      </c>
      <c r="AE28" s="58">
        <v>71.424604505321895</v>
      </c>
      <c r="AF28" s="10">
        <f t="shared" si="11"/>
        <v>37.418723849287254</v>
      </c>
      <c r="AG28" s="82">
        <f t="shared" si="6"/>
        <v>1.3735500866408057</v>
      </c>
      <c r="AH28" s="10">
        <f t="shared" si="0"/>
        <v>0.10297343509165202</v>
      </c>
      <c r="AI28" s="10">
        <f t="shared" si="7"/>
        <v>0.15395596271471484</v>
      </c>
      <c r="AJ28" s="10">
        <f t="shared" si="8"/>
        <v>6.4953638843662773</v>
      </c>
      <c r="AK28" s="10">
        <f t="shared" si="9"/>
        <v>2354.7221368444398</v>
      </c>
    </row>
    <row r="29" spans="1:37" s="10" customFormat="1">
      <c r="A29" s="20">
        <v>41438</v>
      </c>
      <c r="B29" s="10" t="s">
        <v>15</v>
      </c>
      <c r="C29" s="10" t="s">
        <v>12</v>
      </c>
      <c r="D29" s="10">
        <v>10</v>
      </c>
      <c r="E29" s="20">
        <v>41426</v>
      </c>
      <c r="F29" s="32">
        <v>6.8982094095002902</v>
      </c>
      <c r="G29" s="10">
        <v>28.67</v>
      </c>
      <c r="H29" s="17">
        <f t="shared" si="10"/>
        <v>1.9777166377037332</v>
      </c>
      <c r="I29" s="10">
        <v>46</v>
      </c>
      <c r="K29" s="10">
        <v>822.62804219239297</v>
      </c>
      <c r="L29" s="10">
        <v>1048.2694801032801</v>
      </c>
      <c r="M29" s="10">
        <v>1401.8432343838699</v>
      </c>
      <c r="N29" s="10">
        <v>1737.3332997601001</v>
      </c>
      <c r="O29" s="10">
        <v>1666.2868222022801</v>
      </c>
      <c r="P29" s="10">
        <v>1398.5488856740001</v>
      </c>
      <c r="Q29" s="10">
        <v>1038.8996740344601</v>
      </c>
      <c r="R29" s="10">
        <v>637.15871257210904</v>
      </c>
      <c r="S29" s="10">
        <v>415.24794728932198</v>
      </c>
      <c r="T29" s="10">
        <v>272.04723384214799</v>
      </c>
      <c r="U29" s="10">
        <v>146.87949654892401</v>
      </c>
      <c r="V29" s="10">
        <f t="shared" si="1"/>
        <v>1043.8263332053962</v>
      </c>
      <c r="W29" s="10">
        <v>5.4807272099678999</v>
      </c>
      <c r="X29" s="10">
        <v>3.1446540880503102</v>
      </c>
      <c r="Y29" s="10">
        <v>0.45788085492014202</v>
      </c>
      <c r="Z29" s="10">
        <v>0.31075201988812901</v>
      </c>
      <c r="AA29" s="10">
        <f t="shared" si="2"/>
        <v>0.15658897108557907</v>
      </c>
      <c r="AB29" s="10">
        <f t="shared" si="3"/>
        <v>8.4543073323469872E-2</v>
      </c>
      <c r="AC29" s="10">
        <f t="shared" si="4"/>
        <v>2.9639267309092072E-2</v>
      </c>
      <c r="AD29" s="10">
        <f t="shared" si="5"/>
        <v>316.98955872140107</v>
      </c>
      <c r="AE29" s="82">
        <v>49.937887229483998</v>
      </c>
      <c r="AF29" s="10">
        <f t="shared" si="11"/>
        <v>22.83305166872573</v>
      </c>
      <c r="AG29" s="82">
        <f t="shared" si="6"/>
        <v>1.0856062441192174</v>
      </c>
      <c r="AH29" s="10">
        <f t="shared" si="0"/>
        <v>8.3543814055803703E-2</v>
      </c>
      <c r="AI29" s="10">
        <f t="shared" si="7"/>
        <v>0.18928068243639976</v>
      </c>
      <c r="AJ29" s="10">
        <f t="shared" si="8"/>
        <v>5.2831593120233507</v>
      </c>
      <c r="AK29" s="10">
        <f t="shared" si="9"/>
        <v>1737.3332997601001</v>
      </c>
    </row>
    <row r="30" spans="1:37" s="10" customFormat="1">
      <c r="A30" s="124">
        <v>41393</v>
      </c>
      <c r="B30" s="125" t="s">
        <v>14</v>
      </c>
      <c r="C30" s="10" t="s">
        <v>12</v>
      </c>
      <c r="D30" s="10">
        <v>10</v>
      </c>
      <c r="E30" s="20">
        <v>41390</v>
      </c>
      <c r="F30" s="32">
        <v>4.8809741114758696</v>
      </c>
      <c r="G30" s="126">
        <v>12.415105597566599</v>
      </c>
      <c r="H30" s="17">
        <f t="shared" si="10"/>
        <v>0.60597809012961723</v>
      </c>
      <c r="I30" s="125">
        <v>82</v>
      </c>
      <c r="K30" s="125">
        <v>454.40626623314199</v>
      </c>
      <c r="L30" s="125">
        <v>556.88496698099596</v>
      </c>
      <c r="M30" s="125">
        <v>687.71283303217899</v>
      </c>
      <c r="N30" s="125">
        <v>756.87546614893699</v>
      </c>
      <c r="O30" s="125">
        <v>672.81949156614905</v>
      </c>
      <c r="P30" s="125">
        <v>461.12197560295698</v>
      </c>
      <c r="Q30" s="125">
        <v>242.28580281581</v>
      </c>
      <c r="R30" s="125">
        <v>143.31830465953499</v>
      </c>
      <c r="S30" s="125">
        <v>103.40654765299701</v>
      </c>
      <c r="T30" s="125">
        <v>83.241500384238293</v>
      </c>
      <c r="U30" s="125">
        <v>70.529719978037505</v>
      </c>
      <c r="V30" s="10">
        <f t="shared" si="1"/>
        <v>416.20731550769398</v>
      </c>
      <c r="W30" s="10">
        <v>3.0183405074269598</v>
      </c>
      <c r="X30" s="10">
        <v>3.9682539682539701</v>
      </c>
      <c r="Y30" s="10">
        <v>0.21255070399985301</v>
      </c>
      <c r="Z30" s="10">
        <v>0.29797377830750899</v>
      </c>
      <c r="AA30" s="10">
        <f t="shared" si="2"/>
        <v>0.10998044474579143</v>
      </c>
      <c r="AB30" s="10">
        <f t="shared" si="3"/>
        <v>9.3185369499291917E-2</v>
      </c>
      <c r="AC30" s="10">
        <f t="shared" si="4"/>
        <v>2.6315433350489848E-2</v>
      </c>
      <c r="AD30" s="10">
        <f t="shared" si="5"/>
        <v>250.75880745945045</v>
      </c>
      <c r="AE30" s="58">
        <v>30.192361993803399</v>
      </c>
      <c r="AF30" s="10">
        <f t="shared" si="11"/>
        <v>22.614423438018008</v>
      </c>
      <c r="AG30" s="82">
        <f t="shared" si="6"/>
        <v>0.36819953650979753</v>
      </c>
      <c r="AH30" s="10">
        <f t="shared" si="0"/>
        <v>7.0419723512588642E-2</v>
      </c>
      <c r="AI30" s="10">
        <f t="shared" si="7"/>
        <v>0.23927374917709496</v>
      </c>
      <c r="AJ30" s="10">
        <f t="shared" si="8"/>
        <v>4.1793134576575079</v>
      </c>
      <c r="AK30" s="10">
        <f t="shared" si="9"/>
        <v>756.87546614893699</v>
      </c>
    </row>
    <row r="31" spans="1:37" s="10" customFormat="1">
      <c r="A31" s="20">
        <v>41431</v>
      </c>
      <c r="B31" s="10" t="s">
        <v>10</v>
      </c>
      <c r="C31" s="10" t="s">
        <v>12</v>
      </c>
      <c r="D31" s="10">
        <v>10</v>
      </c>
      <c r="E31" s="20">
        <v>41426</v>
      </c>
      <c r="F31" s="32">
        <v>6.3884569792520596</v>
      </c>
      <c r="G31" s="17">
        <v>22.7743472133083</v>
      </c>
      <c r="H31" s="17">
        <f t="shared" si="10"/>
        <v>1.454929374027691</v>
      </c>
      <c r="I31" s="10">
        <v>82</v>
      </c>
      <c r="K31" s="10">
        <v>289.30051373438999</v>
      </c>
      <c r="L31" s="10">
        <v>911.60480922927195</v>
      </c>
      <c r="M31" s="10">
        <v>1790.58704565988</v>
      </c>
      <c r="N31" s="10">
        <v>2023.1377719090999</v>
      </c>
      <c r="O31" s="10">
        <v>1658.4673709083299</v>
      </c>
      <c r="P31" s="10">
        <v>911.62772951560203</v>
      </c>
      <c r="Q31" s="10">
        <v>497.57022323538399</v>
      </c>
      <c r="R31" s="10">
        <v>292.23200624294498</v>
      </c>
      <c r="S31" s="10">
        <v>175.50892149944599</v>
      </c>
      <c r="T31" s="10">
        <v>131.13534492015501</v>
      </c>
      <c r="U31" s="10">
        <v>99.217421749177205</v>
      </c>
      <c r="V31" s="10">
        <f t="shared" si="1"/>
        <v>868.11717368545033</v>
      </c>
      <c r="W31" s="10">
        <v>8.1591138786572905</v>
      </c>
      <c r="X31" s="10">
        <v>4</v>
      </c>
      <c r="Y31" s="10">
        <v>0.57660977876507602</v>
      </c>
      <c r="Z31" s="10">
        <v>0.299580587177951</v>
      </c>
      <c r="AA31" s="10">
        <f t="shared" si="2"/>
        <v>6.4817802692898829E-2</v>
      </c>
      <c r="AB31" s="10">
        <f t="shared" si="3"/>
        <v>4.9041357008303171E-2</v>
      </c>
      <c r="AC31" s="10">
        <f t="shared" si="4"/>
        <v>1.568422598437243E-2</v>
      </c>
      <c r="AD31" s="10">
        <f t="shared" si="5"/>
        <v>247.96047732600576</v>
      </c>
      <c r="AE31" s="58">
        <v>15.8521484283996</v>
      </c>
      <c r="AF31" s="10">
        <f t="shared" si="11"/>
        <v>13.179247701862328</v>
      </c>
      <c r="AG31" s="82">
        <f t="shared" si="6"/>
        <v>0.19331888327316585</v>
      </c>
      <c r="AH31" s="10">
        <f t="shared" si="0"/>
        <v>7.0670637441815704E-2</v>
      </c>
      <c r="AI31" s="10">
        <f t="shared" si="7"/>
        <v>0.24197404621509527</v>
      </c>
      <c r="AJ31" s="10">
        <f t="shared" si="8"/>
        <v>4.1326746221000956</v>
      </c>
      <c r="AK31" s="10">
        <f t="shared" si="9"/>
        <v>2023.1377719090999</v>
      </c>
    </row>
    <row r="32" spans="1:37" s="10" customFormat="1">
      <c r="A32" s="124">
        <v>41393</v>
      </c>
      <c r="B32" s="125" t="s">
        <v>10</v>
      </c>
      <c r="C32" s="10" t="s">
        <v>12</v>
      </c>
      <c r="D32" s="10">
        <v>10</v>
      </c>
      <c r="E32" s="20">
        <v>41390</v>
      </c>
      <c r="F32" s="32">
        <v>5.9014600956289103</v>
      </c>
      <c r="G32" s="126">
        <v>53.796523204329603</v>
      </c>
      <c r="H32" s="17">
        <f t="shared" si="10"/>
        <v>3.1747803497392586</v>
      </c>
      <c r="I32" s="125">
        <v>90</v>
      </c>
      <c r="K32" s="125">
        <v>1484.0801867699799</v>
      </c>
      <c r="L32" s="125">
        <v>1609.96245807795</v>
      </c>
      <c r="M32" s="125">
        <v>1671.35107551752</v>
      </c>
      <c r="N32" s="125">
        <v>1570.65230715855</v>
      </c>
      <c r="O32" s="125">
        <v>1167.3040939053999</v>
      </c>
      <c r="P32" s="125">
        <v>653.95160171157602</v>
      </c>
      <c r="Q32" s="125">
        <v>409.55627195582099</v>
      </c>
      <c r="R32" s="125">
        <v>271.86838752642097</v>
      </c>
      <c r="S32" s="125">
        <v>168.39273276922401</v>
      </c>
      <c r="T32" s="125">
        <v>131.30968284366401</v>
      </c>
      <c r="U32" s="125">
        <v>98.325551072189995</v>
      </c>
      <c r="V32" s="10">
        <f t="shared" si="1"/>
        <v>913.84287982361059</v>
      </c>
      <c r="W32" s="10">
        <v>16.128312620651101</v>
      </c>
      <c r="X32" s="10">
        <v>9.6153846153846203</v>
      </c>
      <c r="Y32" s="10">
        <v>0.44285602294610898</v>
      </c>
      <c r="Z32" s="10">
        <v>0.28425241614553698</v>
      </c>
      <c r="AA32" s="10">
        <f t="shared" si="2"/>
        <v>7.8564991381601293E-2</v>
      </c>
      <c r="AB32" s="10">
        <f t="shared" si="3"/>
        <v>5.8829980434687727E-2</v>
      </c>
      <c r="AC32" s="10">
        <f t="shared" si="4"/>
        <v>4.5488494689203636E-2</v>
      </c>
      <c r="AD32" s="10">
        <f t="shared" si="5"/>
        <v>97.384788111525495</v>
      </c>
      <c r="AE32" s="58">
        <v>8.3320509376699494</v>
      </c>
      <c r="AF32" s="10">
        <f t="shared" si="11"/>
        <v>7.3274072334125382</v>
      </c>
      <c r="AG32" s="82">
        <f t="shared" si="6"/>
        <v>9.2578343751888323E-2</v>
      </c>
      <c r="AH32" s="10">
        <f t="shared" si="0"/>
        <v>2.7458298543833089E-2</v>
      </c>
      <c r="AI32" s="10">
        <f t="shared" si="7"/>
        <v>0.5789919134371132</v>
      </c>
      <c r="AJ32" s="10">
        <f t="shared" si="8"/>
        <v>1.7271398387304322</v>
      </c>
      <c r="AK32" s="10">
        <f t="shared" si="9"/>
        <v>1671.35107551752</v>
      </c>
    </row>
    <row r="33" spans="1:37" s="10" customFormat="1">
      <c r="A33" s="20">
        <v>41511</v>
      </c>
      <c r="B33" s="10" t="s">
        <v>10</v>
      </c>
      <c r="C33" s="10" t="s">
        <v>12</v>
      </c>
      <c r="D33" s="10">
        <v>10</v>
      </c>
      <c r="E33" s="20">
        <v>41509</v>
      </c>
      <c r="F33" s="32">
        <v>4.1616233423900697</v>
      </c>
      <c r="G33" s="10">
        <v>12.4522346058165</v>
      </c>
      <c r="H33" s="17">
        <f t="shared" si="10"/>
        <v>0.51821510200483356</v>
      </c>
      <c r="I33" s="10">
        <v>92</v>
      </c>
      <c r="K33" s="10">
        <v>1657.5923549920799</v>
      </c>
      <c r="L33" s="10">
        <v>2037.1649445324899</v>
      </c>
      <c r="M33" s="10">
        <v>2451.8616418383499</v>
      </c>
      <c r="N33" s="10">
        <v>1567.91723613312</v>
      </c>
      <c r="O33" s="10">
        <v>1873.1992012678299</v>
      </c>
      <c r="P33" s="10">
        <v>1071.75404120444</v>
      </c>
      <c r="Q33" s="10">
        <v>750.96044223552099</v>
      </c>
      <c r="R33" s="10">
        <v>459.80225802359502</v>
      </c>
      <c r="S33" s="10">
        <v>312.96674357242102</v>
      </c>
      <c r="T33" s="10">
        <v>134.87340433345599</v>
      </c>
      <c r="U33" s="10">
        <v>100.01667353188699</v>
      </c>
      <c r="V33" s="10">
        <f t="shared" si="1"/>
        <v>1231.80922681333</v>
      </c>
      <c r="W33" s="10">
        <v>14.020881563655401</v>
      </c>
      <c r="Y33" s="10">
        <v>0.71254149164479597</v>
      </c>
      <c r="AA33" s="10">
        <f>T33/MAX(K33:U33)</f>
        <v>5.5008570643623675E-2</v>
      </c>
      <c r="AB33" s="10">
        <f t="shared" si="3"/>
        <v>4.0792135993814385E-2</v>
      </c>
      <c r="AC33" s="10">
        <f t="shared" si="4"/>
        <v>1.8873870551731606E-2</v>
      </c>
      <c r="AD33" s="10">
        <f t="shared" si="5"/>
        <v>111.82729338484951</v>
      </c>
      <c r="AE33" s="10">
        <v>9.6508409950448009</v>
      </c>
      <c r="AG33" s="82">
        <f t="shared" si="6"/>
        <v>0.10490044559831305</v>
      </c>
      <c r="AH33" s="10">
        <f t="shared" si="0"/>
        <v>5.082002072479018E-2</v>
      </c>
      <c r="AI33" s="10">
        <f t="shared" si="7"/>
        <v>0.34310781630751885</v>
      </c>
      <c r="AJ33" s="10">
        <f t="shared" si="8"/>
        <v>2.9145357595226722</v>
      </c>
      <c r="AK33" s="10">
        <f t="shared" si="9"/>
        <v>2451.8616418383499</v>
      </c>
    </row>
    <row r="34" spans="1:37" s="10" customFormat="1">
      <c r="A34" s="20">
        <v>41605</v>
      </c>
      <c r="B34" s="10" t="s">
        <v>15</v>
      </c>
      <c r="C34" s="10" t="s">
        <v>84</v>
      </c>
      <c r="D34" s="10">
        <v>10</v>
      </c>
      <c r="E34" s="20">
        <v>41595</v>
      </c>
      <c r="F34" s="10">
        <v>5.8566068695475302</v>
      </c>
      <c r="G34" s="10">
        <v>50.241076606604203</v>
      </c>
      <c r="H34" s="17">
        <f t="shared" si="10"/>
        <v>2.942422343877019</v>
      </c>
      <c r="I34" s="10">
        <v>62</v>
      </c>
      <c r="K34" s="10">
        <v>913.19090933774999</v>
      </c>
      <c r="L34" s="10">
        <v>1023.75885850824</v>
      </c>
      <c r="M34" s="10">
        <v>1032.1223356594001</v>
      </c>
      <c r="N34" s="10">
        <v>897.36354503244695</v>
      </c>
      <c r="O34" s="10">
        <v>614.59083874120904</v>
      </c>
      <c r="P34" s="10">
        <v>340.64204460511797</v>
      </c>
      <c r="Q34" s="10">
        <v>186.374197608559</v>
      </c>
      <c r="R34" s="10">
        <v>124.182679233622</v>
      </c>
      <c r="S34" s="10">
        <v>84.037743088511505</v>
      </c>
      <c r="T34" s="10">
        <v>74.566947960618904</v>
      </c>
      <c r="U34" s="10">
        <v>64.375486607402195</v>
      </c>
      <c r="W34" s="10">
        <v>9.6684645151817001</v>
      </c>
      <c r="Y34" s="82">
        <v>0.29198439589096598</v>
      </c>
      <c r="AA34" s="10">
        <f>T34/MAX(K34:U34)</f>
        <v>7.2246230300771208E-2</v>
      </c>
      <c r="AC34" s="10">
        <f t="shared" si="4"/>
        <v>4.0606239583356483E-2</v>
      </c>
      <c r="AD34" s="10">
        <f t="shared" si="5"/>
        <v>92.813449707901498</v>
      </c>
      <c r="AE34" s="10">
        <v>7.5596721873483199</v>
      </c>
      <c r="AF34" s="82"/>
      <c r="AG34" s="82">
        <f t="shared" si="6"/>
        <v>0.12193019657013419</v>
      </c>
      <c r="AH34" s="10">
        <f t="shared" si="0"/>
        <v>3.0199665668988462E-2</v>
      </c>
      <c r="AI34" s="10">
        <f t="shared" si="7"/>
        <v>0.56205340284616934</v>
      </c>
      <c r="AJ34" s="10">
        <f>1/AI34</f>
        <v>1.7791903668514824</v>
      </c>
    </row>
    <row r="35" spans="1:37" s="10" customFormat="1">
      <c r="A35" s="20">
        <v>41605</v>
      </c>
      <c r="B35" s="10" t="s">
        <v>10</v>
      </c>
      <c r="C35" s="10" t="s">
        <v>84</v>
      </c>
      <c r="D35" s="10">
        <v>10</v>
      </c>
      <c r="E35" s="20">
        <v>41595</v>
      </c>
      <c r="F35" s="10">
        <v>6.8959413084036703</v>
      </c>
      <c r="G35" s="10">
        <v>22.219328327869</v>
      </c>
      <c r="H35" s="17">
        <f t="shared" si="10"/>
        <v>1.5322318406113569</v>
      </c>
      <c r="I35" s="10">
        <v>59</v>
      </c>
      <c r="K35" s="10">
        <v>902.31315735395799</v>
      </c>
      <c r="L35" s="10">
        <v>997.33475312447501</v>
      </c>
      <c r="M35" s="10">
        <v>1080.7743092529299</v>
      </c>
      <c r="N35" s="10">
        <v>1106.9889966186599</v>
      </c>
      <c r="O35" s="10">
        <v>771.21978740495797</v>
      </c>
      <c r="P35" s="10">
        <v>358.34717778900301</v>
      </c>
      <c r="Q35" s="10">
        <v>182.50183292278501</v>
      </c>
      <c r="R35" s="10">
        <v>104.702542132172</v>
      </c>
      <c r="S35" s="10">
        <v>74.539601821384693</v>
      </c>
      <c r="T35" s="10">
        <v>51.139944713199696</v>
      </c>
      <c r="U35" s="10">
        <v>46.654793786823802</v>
      </c>
      <c r="W35" s="10">
        <v>4.6336406202307696</v>
      </c>
      <c r="Y35" s="82">
        <v>0.34970737859210399</v>
      </c>
      <c r="AA35" s="10">
        <f>T35/MAX(K35:U35)</f>
        <v>4.61973378862921E-2</v>
      </c>
      <c r="AC35" s="10">
        <f t="shared" si="4"/>
        <v>1.1602384234909783E-2</v>
      </c>
      <c r="AD35" s="10">
        <f t="shared" si="5"/>
        <v>238.90264423733589</v>
      </c>
      <c r="AE35" s="10">
        <v>10.5864594295972</v>
      </c>
      <c r="AF35" s="82"/>
      <c r="AG35" s="82">
        <f t="shared" si="6"/>
        <v>0.17943151575588476</v>
      </c>
      <c r="AH35" s="10">
        <f t="shared" si="0"/>
        <v>7.5471407313130706E-2</v>
      </c>
      <c r="AI35" s="10">
        <f t="shared" si="7"/>
        <v>0.2511483294441626</v>
      </c>
      <c r="AJ35" s="10">
        <f>1/AI35</f>
        <v>3.9817107372889309</v>
      </c>
    </row>
    <row r="36" spans="1:37" s="80" customFormat="1" ht="15" thickBot="1">
      <c r="A36" s="128"/>
      <c r="B36" s="78"/>
      <c r="C36" s="78"/>
      <c r="D36" s="78"/>
      <c r="E36" s="128"/>
      <c r="F36" s="76"/>
      <c r="G36" s="78"/>
      <c r="H36" s="77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129"/>
      <c r="W36" s="78"/>
      <c r="X36" s="78"/>
      <c r="Y36" s="78"/>
      <c r="Z36" s="78"/>
      <c r="AA36" s="79"/>
      <c r="AB36" s="79"/>
      <c r="AC36" s="78"/>
      <c r="AD36" s="78"/>
      <c r="AE36" s="130"/>
      <c r="AF36" s="78"/>
      <c r="AG36" s="78"/>
      <c r="AH36" s="78"/>
      <c r="AI36" s="78"/>
      <c r="AJ36" s="78"/>
      <c r="AK36" s="78"/>
    </row>
    <row r="37" spans="1:37" s="11" customFormat="1" ht="15" thickTop="1">
      <c r="A37" s="14"/>
      <c r="B37" s="1"/>
      <c r="C37" s="1"/>
      <c r="D37" s="1"/>
      <c r="E37" s="20"/>
      <c r="F37" s="32"/>
      <c r="G37" s="22"/>
      <c r="H37" s="33"/>
      <c r="AA37" s="1"/>
      <c r="AB37" s="1"/>
      <c r="AC37" s="10"/>
      <c r="AD37" s="10"/>
      <c r="AE37" s="10"/>
      <c r="AF37" s="10"/>
      <c r="AG37" s="10"/>
      <c r="AI37" s="10"/>
    </row>
    <row r="38" spans="1:37"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5"/>
      <c r="AB38" s="5"/>
      <c r="AC38" s="5"/>
      <c r="AD38" s="5"/>
      <c r="AE38" s="5"/>
      <c r="AF38" s="5"/>
      <c r="AG38" s="49"/>
      <c r="AH38" s="5"/>
    </row>
    <row r="39" spans="1:37"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2"/>
      <c r="AB39" s="11"/>
      <c r="AC39" s="5"/>
      <c r="AD39" s="5"/>
      <c r="AE39" s="5"/>
      <c r="AF39" s="5"/>
      <c r="AG39" s="5"/>
      <c r="AH39" s="5"/>
      <c r="AI39" s="5"/>
      <c r="AJ39" s="5"/>
      <c r="AK39" s="5"/>
    </row>
    <row r="40" spans="1:37" s="11" customFormat="1">
      <c r="A40" s="14"/>
      <c r="E40" s="14"/>
      <c r="F40" s="35"/>
      <c r="G40" s="3"/>
      <c r="Y40" s="9"/>
      <c r="Z40" s="9"/>
      <c r="AA40" s="1"/>
    </row>
    <row r="41" spans="1:37" s="11" customFormat="1">
      <c r="A41" s="14"/>
      <c r="E41" s="35"/>
      <c r="F41" s="35"/>
      <c r="G41" s="3"/>
      <c r="Y41" s="9"/>
      <c r="Z41" s="9"/>
      <c r="AA41" s="1"/>
    </row>
    <row r="42" spans="1:37" s="11" customFormat="1">
      <c r="A42" s="14"/>
      <c r="E42" s="14"/>
      <c r="F42" s="35"/>
      <c r="G42" s="3"/>
      <c r="Y42" s="9"/>
      <c r="Z42" s="9"/>
      <c r="AA42" s="1"/>
      <c r="AB42" s="12"/>
      <c r="AC42" s="2"/>
      <c r="AD42" s="2"/>
      <c r="AE42" s="2"/>
      <c r="AF42" s="2"/>
      <c r="AH42" s="2"/>
      <c r="AI42" s="2"/>
    </row>
    <row r="43" spans="1:37" s="11" customFormat="1">
      <c r="A43" s="14"/>
      <c r="E43" s="14"/>
      <c r="F43" s="35"/>
      <c r="G43" s="3"/>
      <c r="AA43" s="1"/>
      <c r="AB43" s="12"/>
      <c r="AC43" s="2"/>
      <c r="AD43" s="2"/>
      <c r="AE43" s="2"/>
      <c r="AF43" s="2"/>
      <c r="AG43" s="2"/>
      <c r="AH43" s="2"/>
      <c r="AI43" s="2"/>
    </row>
    <row r="44" spans="1:37" s="11" customFormat="1">
      <c r="A44" s="14"/>
      <c r="F44" s="14"/>
      <c r="G44" s="3"/>
      <c r="AA44" s="1"/>
      <c r="AB44" s="12"/>
      <c r="AC44" s="2"/>
      <c r="AD44" s="2"/>
      <c r="AE44" s="2"/>
      <c r="AF44" s="2"/>
      <c r="AG44" s="2"/>
      <c r="AH44" s="2"/>
      <c r="AI44" s="2"/>
    </row>
    <row r="45" spans="1:37" s="11" customFormat="1">
      <c r="A45" s="14"/>
      <c r="F45" s="14"/>
      <c r="G45" s="3"/>
      <c r="AA45" s="1"/>
      <c r="AB45" s="12"/>
      <c r="AC45" s="2"/>
      <c r="AD45" s="2"/>
      <c r="AE45" s="2"/>
      <c r="AF45" s="2"/>
      <c r="AG45" s="2"/>
      <c r="AH45" s="2"/>
      <c r="AI45" s="2"/>
    </row>
    <row r="46" spans="1:37">
      <c r="A46" s="19"/>
      <c r="B46" s="5"/>
      <c r="C46" s="5"/>
      <c r="D46" s="5"/>
      <c r="E46" s="19"/>
      <c r="F46" s="34"/>
      <c r="G46" s="5"/>
      <c r="H46" s="145" t="s">
        <v>90</v>
      </c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W46" s="5"/>
      <c r="X46" s="5"/>
      <c r="Y46" s="5"/>
      <c r="AA46" s="12"/>
      <c r="AB46" s="12"/>
    </row>
    <row r="47" spans="1:37">
      <c r="G47" s="5"/>
      <c r="I47" s="5">
        <v>0</v>
      </c>
      <c r="J47" s="5">
        <v>0.5</v>
      </c>
      <c r="K47" s="5">
        <v>1</v>
      </c>
      <c r="L47" s="5">
        <v>2</v>
      </c>
      <c r="M47" s="5">
        <v>5</v>
      </c>
      <c r="N47" s="5">
        <v>10</v>
      </c>
      <c r="O47" s="5">
        <v>20</v>
      </c>
      <c r="P47" s="5">
        <v>30</v>
      </c>
      <c r="Q47" s="5">
        <v>40</v>
      </c>
      <c r="R47" s="5">
        <v>50</v>
      </c>
      <c r="S47" s="5">
        <v>60</v>
      </c>
      <c r="T47" s="5">
        <v>75</v>
      </c>
      <c r="Y47" s="12"/>
      <c r="Z47" s="12"/>
      <c r="AA47" s="12"/>
      <c r="AB47" s="12"/>
    </row>
    <row r="48" spans="1:37">
      <c r="G48" s="5">
        <f>COUNT(D2:D10)</f>
        <v>9</v>
      </c>
      <c r="H48" s="5" t="s">
        <v>32</v>
      </c>
      <c r="I48" s="5">
        <v>0</v>
      </c>
      <c r="J48" s="5">
        <f t="shared" ref="J48:T48" si="12" xml:space="preserve"> AVERAGE(K2:K12)</f>
        <v>203.70051053562739</v>
      </c>
      <c r="K48" s="5">
        <f t="shared" si="12"/>
        <v>240.78946913478569</v>
      </c>
      <c r="L48" s="5">
        <f t="shared" si="12"/>
        <v>278.28267197043107</v>
      </c>
      <c r="M48" s="5">
        <f t="shared" si="12"/>
        <v>298.14522824721513</v>
      </c>
      <c r="N48" s="5">
        <f t="shared" si="12"/>
        <v>254.73137028858784</v>
      </c>
      <c r="O48" s="5">
        <f t="shared" si="12"/>
        <v>182.49685715248995</v>
      </c>
      <c r="P48" s="5">
        <f t="shared" si="12"/>
        <v>121.96089044722598</v>
      </c>
      <c r="Q48" s="5">
        <f t="shared" si="12"/>
        <v>85.39875090874753</v>
      </c>
      <c r="R48" s="5">
        <f t="shared" si="12"/>
        <v>63.526930456438578</v>
      </c>
      <c r="S48" s="5">
        <f t="shared" si="12"/>
        <v>51.496511184370767</v>
      </c>
      <c r="T48" s="5">
        <f t="shared" si="12"/>
        <v>35.512429113004757</v>
      </c>
      <c r="Y48" s="12"/>
      <c r="Z48" s="12"/>
      <c r="AA48" s="12"/>
      <c r="AB48" s="12"/>
    </row>
    <row r="49" spans="2:28">
      <c r="B49" s="48"/>
      <c r="G49" s="5"/>
      <c r="H49" s="5" t="s">
        <v>30</v>
      </c>
      <c r="I49" s="5">
        <v>0</v>
      </c>
      <c r="J49" s="5">
        <f t="shared" ref="J49:T49" si="13">_xlfn.STDEV.P(K2:K12)</f>
        <v>117.15290422122364</v>
      </c>
      <c r="K49" s="5">
        <f t="shared" si="13"/>
        <v>139.70597553620013</v>
      </c>
      <c r="L49" s="5">
        <f t="shared" si="13"/>
        <v>152.02397214964191</v>
      </c>
      <c r="M49" s="5">
        <f t="shared" si="13"/>
        <v>145.74405508611625</v>
      </c>
      <c r="N49" s="5">
        <f t="shared" si="13"/>
        <v>96.36034074798674</v>
      </c>
      <c r="O49" s="5">
        <f t="shared" si="13"/>
        <v>72.483271621830298</v>
      </c>
      <c r="P49" s="5">
        <f t="shared" si="13"/>
        <v>76.876778091047655</v>
      </c>
      <c r="Q49" s="5">
        <f t="shared" si="13"/>
        <v>75.929123221915262</v>
      </c>
      <c r="R49" s="5">
        <f t="shared" si="13"/>
        <v>62.888906830005446</v>
      </c>
      <c r="S49" s="5">
        <f t="shared" si="13"/>
        <v>52.194425705500691</v>
      </c>
      <c r="T49" s="5">
        <f t="shared" si="13"/>
        <v>25.650861522153786</v>
      </c>
      <c r="Y49" s="12"/>
      <c r="Z49" s="12"/>
      <c r="AA49" s="12"/>
      <c r="AB49" s="12"/>
    </row>
    <row r="50" spans="2:28">
      <c r="G50" s="5"/>
      <c r="H50" s="5" t="s">
        <v>31</v>
      </c>
      <c r="I50" s="5">
        <v>0</v>
      </c>
      <c r="J50" s="5">
        <f t="shared" ref="J50:T50" si="14">J49/SQRT(COUNT(K2:K12))</f>
        <v>35.322929672931096</v>
      </c>
      <c r="K50" s="5">
        <f t="shared" si="14"/>
        <v>42.12293652946785</v>
      </c>
      <c r="L50" s="5">
        <f t="shared" si="14"/>
        <v>45.836952250891024</v>
      </c>
      <c r="M50" s="5">
        <f t="shared" si="14"/>
        <v>43.943486013230562</v>
      </c>
      <c r="N50" s="5">
        <f t="shared" si="14"/>
        <v>29.053735902896946</v>
      </c>
      <c r="O50" s="5">
        <f t="shared" si="14"/>
        <v>21.85452868609331</v>
      </c>
      <c r="P50" s="5">
        <f t="shared" si="14"/>
        <v>23.179220729038139</v>
      </c>
      <c r="Q50" s="5">
        <f t="shared" si="14"/>
        <v>22.893492035250368</v>
      </c>
      <c r="R50" s="5">
        <f t="shared" si="14"/>
        <v>18.961718857340646</v>
      </c>
      <c r="S50" s="5">
        <f t="shared" si="14"/>
        <v>15.737211473929703</v>
      </c>
      <c r="T50" s="5">
        <f t="shared" si="14"/>
        <v>7.7340257471226082</v>
      </c>
      <c r="Y50" s="12"/>
      <c r="Z50" s="12"/>
      <c r="AA50" s="12"/>
      <c r="AB50" s="12"/>
    </row>
    <row r="51" spans="2:28">
      <c r="G51" s="5">
        <f>COUNT(D13:D24)</f>
        <v>12</v>
      </c>
      <c r="X51" s="4"/>
      <c r="Y51" s="12"/>
      <c r="Z51" s="12"/>
      <c r="AA51" s="12"/>
      <c r="AB51" s="12"/>
    </row>
    <row r="52" spans="2:28">
      <c r="G52" s="5"/>
      <c r="H52" s="5" t="s">
        <v>33</v>
      </c>
      <c r="I52" s="5">
        <v>0</v>
      </c>
      <c r="J52" s="5">
        <f t="shared" ref="J52:T52" si="15" xml:space="preserve"> AVERAGE(K13:K24)</f>
        <v>450.56486667662313</v>
      </c>
      <c r="K52" s="5">
        <f t="shared" si="15"/>
        <v>591.62869585012334</v>
      </c>
      <c r="L52" s="5">
        <f t="shared" si="15"/>
        <v>694.21106288308386</v>
      </c>
      <c r="M52" s="5">
        <f t="shared" si="15"/>
        <v>754.09212742733018</v>
      </c>
      <c r="N52" s="5">
        <f t="shared" si="15"/>
        <v>655.04077654330172</v>
      </c>
      <c r="O52" s="5">
        <f t="shared" si="15"/>
        <v>404.465535615443</v>
      </c>
      <c r="P52" s="5">
        <f t="shared" si="15"/>
        <v>255.11289671955475</v>
      </c>
      <c r="Q52" s="5">
        <f t="shared" si="15"/>
        <v>171.12808327500738</v>
      </c>
      <c r="R52" s="5">
        <f t="shared" si="15"/>
        <v>116.86679269966822</v>
      </c>
      <c r="S52" s="5">
        <f t="shared" si="15"/>
        <v>86.769990399908849</v>
      </c>
      <c r="T52" s="5">
        <f t="shared" si="15"/>
        <v>66.101727293743352</v>
      </c>
      <c r="Y52" s="12"/>
      <c r="Z52" s="12"/>
      <c r="AA52" s="12"/>
      <c r="AB52" s="12"/>
    </row>
    <row r="53" spans="2:28">
      <c r="E53" s="5"/>
      <c r="G53" s="5"/>
      <c r="H53" s="5" t="s">
        <v>30</v>
      </c>
      <c r="I53" s="5">
        <v>0</v>
      </c>
      <c r="J53" s="5">
        <f t="shared" ref="J53:T53" si="16">_xlfn.STDEV.P(K13:K24)</f>
        <v>483.85954591785128</v>
      </c>
      <c r="K53" s="5">
        <f t="shared" si="16"/>
        <v>513.05539678050627</v>
      </c>
      <c r="L53" s="5">
        <f t="shared" si="16"/>
        <v>562.61050763448816</v>
      </c>
      <c r="M53" s="5">
        <f t="shared" si="16"/>
        <v>522.61358317119334</v>
      </c>
      <c r="N53" s="5">
        <f t="shared" si="16"/>
        <v>430.31704325294169</v>
      </c>
      <c r="O53" s="5">
        <f t="shared" si="16"/>
        <v>287.07275108721916</v>
      </c>
      <c r="P53" s="5">
        <f t="shared" si="16"/>
        <v>209.02670833310324</v>
      </c>
      <c r="Q53" s="5">
        <f t="shared" si="16"/>
        <v>147.74896119290531</v>
      </c>
      <c r="R53" s="5">
        <f t="shared" si="16"/>
        <v>109.01400809375281</v>
      </c>
      <c r="S53" s="5">
        <f t="shared" si="16"/>
        <v>72.176334924045975</v>
      </c>
      <c r="T53" s="5">
        <f t="shared" si="16"/>
        <v>55.73550160253069</v>
      </c>
      <c r="Y53" s="12"/>
      <c r="Z53" s="12"/>
      <c r="AA53" s="12"/>
    </row>
    <row r="54" spans="2:28">
      <c r="G54" s="5"/>
      <c r="H54" s="5" t="s">
        <v>31</v>
      </c>
      <c r="I54" s="5">
        <v>0</v>
      </c>
      <c r="J54" s="5">
        <f t="shared" ref="J54:T54" si="17">J53/SQRT(COUNT(K13:K24))</f>
        <v>139.67821954282076</v>
      </c>
      <c r="K54" s="5">
        <f t="shared" si="17"/>
        <v>148.1063357202078</v>
      </c>
      <c r="L54" s="5">
        <f t="shared" si="17"/>
        <v>162.41166401584189</v>
      </c>
      <c r="M54" s="5">
        <f t="shared" si="17"/>
        <v>150.86554646302167</v>
      </c>
      <c r="N54" s="5">
        <f t="shared" si="17"/>
        <v>124.22183037948487</v>
      </c>
      <c r="O54" s="5">
        <f t="shared" si="17"/>
        <v>82.87076505860621</v>
      </c>
      <c r="P54" s="5">
        <f t="shared" si="17"/>
        <v>60.34081316196928</v>
      </c>
      <c r="Q54" s="5">
        <f t="shared" si="17"/>
        <v>42.651451258605732</v>
      </c>
      <c r="R54" s="5">
        <f t="shared" si="17"/>
        <v>31.469633459184113</v>
      </c>
      <c r="S54" s="5">
        <f t="shared" si="17"/>
        <v>20.835513198759266</v>
      </c>
      <c r="T54" s="5">
        <f t="shared" si="17"/>
        <v>16.089453426819958</v>
      </c>
      <c r="Y54" s="12"/>
      <c r="Z54" s="12"/>
      <c r="AA54" s="12"/>
    </row>
    <row r="55" spans="2:28">
      <c r="G55" s="5"/>
      <c r="Y55" s="12"/>
      <c r="Z55" s="12"/>
      <c r="AA55" s="12"/>
    </row>
    <row r="56" spans="2:28">
      <c r="G56" s="5">
        <f>COUNT(D25:D33)</f>
        <v>9</v>
      </c>
      <c r="H56" s="5" t="s">
        <v>29</v>
      </c>
      <c r="I56" s="5">
        <v>0</v>
      </c>
      <c r="J56" s="5">
        <f t="shared" ref="J56:T56" si="18">AVERAGE(K25:K35)</f>
        <v>871.10419806415882</v>
      </c>
      <c r="K56" s="5">
        <f t="shared" si="18"/>
        <v>1106.1540437938706</v>
      </c>
      <c r="L56" s="5">
        <f t="shared" si="18"/>
        <v>1350.5876285821039</v>
      </c>
      <c r="M56" s="5">
        <f t="shared" si="18"/>
        <v>1426.3548249705634</v>
      </c>
      <c r="N56" s="5">
        <f t="shared" si="18"/>
        <v>1342.4367761647839</v>
      </c>
      <c r="O56" s="5">
        <f t="shared" si="18"/>
        <v>964.27362587242214</v>
      </c>
      <c r="P56" s="5">
        <f t="shared" si="18"/>
        <v>703.72630923890574</v>
      </c>
      <c r="Q56" s="5">
        <f t="shared" si="18"/>
        <v>505.06380693961279</v>
      </c>
      <c r="R56" s="5">
        <f t="shared" si="18"/>
        <v>341.75660050108308</v>
      </c>
      <c r="S56" s="5">
        <f t="shared" si="18"/>
        <v>281.30989792964874</v>
      </c>
      <c r="T56" s="5">
        <f t="shared" si="18"/>
        <v>184.37789078540825</v>
      </c>
      <c r="Y56" s="12"/>
      <c r="Z56" s="12"/>
      <c r="AA56" s="12"/>
    </row>
    <row r="57" spans="2:28">
      <c r="F57" s="41"/>
      <c r="G57" s="5"/>
      <c r="H57" s="5" t="s">
        <v>30</v>
      </c>
      <c r="I57" s="5">
        <v>0</v>
      </c>
      <c r="J57" s="5">
        <f t="shared" ref="J57:T57" si="19">_xlfn.STDEV.P(K25:K35)</f>
        <v>488.16730479239823</v>
      </c>
      <c r="K57" s="5">
        <f t="shared" si="19"/>
        <v>561.88693543830857</v>
      </c>
      <c r="L57" s="5">
        <f t="shared" si="19"/>
        <v>644.0977291498333</v>
      </c>
      <c r="M57" s="5">
        <f t="shared" si="19"/>
        <v>528.47284856266765</v>
      </c>
      <c r="N57" s="5">
        <f t="shared" si="19"/>
        <v>535.02378936624007</v>
      </c>
      <c r="O57" s="5">
        <f t="shared" si="19"/>
        <v>463.47068842250928</v>
      </c>
      <c r="P57" s="5">
        <f t="shared" si="19"/>
        <v>418.27741214393927</v>
      </c>
      <c r="Q57" s="5">
        <f t="shared" si="19"/>
        <v>353.84329515992812</v>
      </c>
      <c r="R57" s="5">
        <f t="shared" si="19"/>
        <v>278.46407278508707</v>
      </c>
      <c r="S57" s="5">
        <f t="shared" si="19"/>
        <v>278.98753047606317</v>
      </c>
      <c r="T57" s="5">
        <f t="shared" si="19"/>
        <v>234.05925947111064</v>
      </c>
      <c r="Y57" s="12"/>
      <c r="Z57" s="12"/>
      <c r="AA57" s="12"/>
    </row>
    <row r="58" spans="2:28">
      <c r="G58" s="5"/>
      <c r="H58" s="5" t="s">
        <v>31</v>
      </c>
      <c r="I58" s="5">
        <v>0</v>
      </c>
      <c r="J58" s="5">
        <f t="shared" ref="J58:T58" si="20">J57/SQRT(COUNT(K25:K35))</f>
        <v>147.18798044685894</v>
      </c>
      <c r="K58" s="5">
        <f t="shared" si="20"/>
        <v>169.41528540468349</v>
      </c>
      <c r="L58" s="5">
        <f t="shared" si="20"/>
        <v>194.20277235545046</v>
      </c>
      <c r="M58" s="5">
        <f t="shared" si="20"/>
        <v>159.34055914297079</v>
      </c>
      <c r="N58" s="5">
        <f t="shared" si="20"/>
        <v>161.31574211290524</v>
      </c>
      <c r="O58" s="5">
        <f t="shared" si="20"/>
        <v>139.74167043865251</v>
      </c>
      <c r="P58" s="5">
        <f t="shared" si="20"/>
        <v>126.11538494202652</v>
      </c>
      <c r="Q58" s="5">
        <f t="shared" si="20"/>
        <v>106.68776769349641</v>
      </c>
      <c r="R58" s="5">
        <f t="shared" si="20"/>
        <v>83.960077002031838</v>
      </c>
      <c r="S58" s="5">
        <f t="shared" si="20"/>
        <v>84.117905434267612</v>
      </c>
      <c r="T58" s="5">
        <f t="shared" si="20"/>
        <v>70.571522034010229</v>
      </c>
    </row>
    <row r="59" spans="2:28">
      <c r="F59" s="34"/>
      <c r="G59" s="5"/>
    </row>
    <row r="60" spans="2:28">
      <c r="F60" s="56"/>
      <c r="G60" s="5"/>
    </row>
    <row r="61" spans="2:28">
      <c r="F61" s="57"/>
      <c r="G61" s="5"/>
      <c r="N61" s="11"/>
    </row>
    <row r="62" spans="2:28">
      <c r="F62" s="42"/>
      <c r="G62" s="5"/>
      <c r="I62" s="5" t="s">
        <v>34</v>
      </c>
      <c r="J62" s="5">
        <f t="shared" ref="J62:T62" si="21">J52/J48</f>
        <v>2.2118985636897506</v>
      </c>
      <c r="K62" s="5">
        <f t="shared" si="21"/>
        <v>2.457037253231992</v>
      </c>
      <c r="L62" s="5">
        <f t="shared" si="21"/>
        <v>2.494625547352971</v>
      </c>
      <c r="M62" s="37">
        <f t="shared" si="21"/>
        <v>2.5292778685763651</v>
      </c>
      <c r="N62" s="11">
        <f t="shared" si="21"/>
        <v>2.5714963013829006</v>
      </c>
      <c r="O62" s="5">
        <f t="shared" si="21"/>
        <v>2.2162876770939755</v>
      </c>
      <c r="P62" s="5">
        <f t="shared" si="21"/>
        <v>2.0917598730549227</v>
      </c>
      <c r="Q62" s="5">
        <f t="shared" si="21"/>
        <v>2.0038710338733825</v>
      </c>
      <c r="R62" s="5">
        <f t="shared" si="21"/>
        <v>1.8396417371339173</v>
      </c>
      <c r="S62" s="6">
        <f t="shared" si="21"/>
        <v>1.6849683290048514</v>
      </c>
      <c r="T62" s="5">
        <f t="shared" si="21"/>
        <v>1.8613687924134905</v>
      </c>
    </row>
    <row r="63" spans="2:28">
      <c r="F63" s="42"/>
      <c r="G63" s="5"/>
      <c r="I63" s="5" t="s">
        <v>35</v>
      </c>
      <c r="J63" s="5">
        <f t="shared" ref="J63:T63" si="22">J56/J48</f>
        <v>4.2763967344686744</v>
      </c>
      <c r="K63" s="5">
        <f t="shared" si="22"/>
        <v>4.5938638752290428</v>
      </c>
      <c r="L63" s="5">
        <f t="shared" si="22"/>
        <v>4.8532940230127251</v>
      </c>
      <c r="M63" s="37">
        <f t="shared" si="22"/>
        <v>4.784094091849302</v>
      </c>
      <c r="N63" s="11">
        <f t="shared" si="22"/>
        <v>5.2700096365984415</v>
      </c>
      <c r="O63" s="5">
        <f t="shared" si="22"/>
        <v>5.2837820931168062</v>
      </c>
      <c r="P63" s="5">
        <f t="shared" si="22"/>
        <v>5.7700981573549353</v>
      </c>
      <c r="Q63" s="5">
        <f t="shared" si="22"/>
        <v>5.9141826029668341</v>
      </c>
      <c r="R63" s="5">
        <f t="shared" si="22"/>
        <v>5.3797121637323722</v>
      </c>
      <c r="S63" s="6">
        <f t="shared" si="22"/>
        <v>5.4626981801249972</v>
      </c>
      <c r="T63" s="5">
        <f t="shared" si="22"/>
        <v>5.1919256269036387</v>
      </c>
    </row>
    <row r="64" spans="2:28">
      <c r="F64" s="42"/>
      <c r="G64" s="5"/>
      <c r="I64" s="5" t="s">
        <v>44</v>
      </c>
      <c r="J64" s="5">
        <f t="shared" ref="J64:T64" si="23">J56/J52</f>
        <v>1.9333602384256978</v>
      </c>
      <c r="K64" s="5">
        <f t="shared" si="23"/>
        <v>1.8696761187427113</v>
      </c>
      <c r="L64" s="5">
        <f t="shared" si="23"/>
        <v>1.9455000082727927</v>
      </c>
      <c r="M64" s="37">
        <f t="shared" si="23"/>
        <v>1.891486163417105</v>
      </c>
      <c r="N64" s="11">
        <f t="shared" si="23"/>
        <v>2.0493942121419084</v>
      </c>
      <c r="O64" s="5">
        <f t="shared" si="23"/>
        <v>2.3840687053970218</v>
      </c>
      <c r="P64" s="5">
        <f t="shared" si="23"/>
        <v>2.7584897442974476</v>
      </c>
      <c r="Q64" s="5">
        <f t="shared" si="23"/>
        <v>2.951378857717712</v>
      </c>
      <c r="R64" s="5">
        <f t="shared" si="23"/>
        <v>2.9243260006232146</v>
      </c>
      <c r="S64" s="6">
        <f t="shared" si="23"/>
        <v>3.2420183133954139</v>
      </c>
      <c r="T64" s="5">
        <f t="shared" si="23"/>
        <v>2.7893051866264917</v>
      </c>
    </row>
    <row r="65" spans="1:35">
      <c r="F65" s="56"/>
      <c r="G65" s="5"/>
      <c r="N65" s="11"/>
    </row>
    <row r="66" spans="1:35">
      <c r="F66" s="56"/>
      <c r="G66" s="5"/>
      <c r="N66" s="11"/>
    </row>
    <row r="67" spans="1:35">
      <c r="A67" s="40"/>
      <c r="B67" s="40"/>
      <c r="C67" s="40"/>
      <c r="D67" s="40"/>
      <c r="E67" s="40"/>
      <c r="F67" s="34"/>
      <c r="G67" s="11"/>
      <c r="H67" s="33"/>
      <c r="I67" s="11"/>
      <c r="J67" s="11"/>
      <c r="K67" s="2"/>
      <c r="L67" s="2"/>
      <c r="M67" s="2"/>
      <c r="N67" s="2"/>
      <c r="O67" s="2"/>
      <c r="P67" s="11"/>
      <c r="Q67" s="11"/>
      <c r="R67" s="11"/>
      <c r="S67" s="11"/>
      <c r="T67" s="11"/>
      <c r="U67" s="11"/>
    </row>
    <row r="68" spans="1:35">
      <c r="F68" s="34"/>
      <c r="K68" s="40"/>
      <c r="L68" s="40"/>
      <c r="M68" s="40"/>
      <c r="N68" s="40"/>
      <c r="O68" s="2"/>
    </row>
    <row r="69" spans="1:35" ht="16" thickBot="1">
      <c r="K69" s="64"/>
      <c r="L69" s="64" t="s">
        <v>45</v>
      </c>
      <c r="M69" s="64" t="s">
        <v>87</v>
      </c>
      <c r="N69" s="64" t="s">
        <v>88</v>
      </c>
      <c r="O69" s="2"/>
    </row>
    <row r="70" spans="1:35" ht="15">
      <c r="K70" s="65" t="s">
        <v>46</v>
      </c>
      <c r="L70" s="66">
        <v>3</v>
      </c>
      <c r="M70" s="67">
        <f>M62</f>
        <v>2.5292778685763651</v>
      </c>
      <c r="N70" s="68">
        <f>S62</f>
        <v>1.6849683290048514</v>
      </c>
      <c r="O70" s="2"/>
    </row>
    <row r="71" spans="1:35" ht="15">
      <c r="K71" s="65" t="s">
        <v>47</v>
      </c>
      <c r="L71" s="69">
        <v>5</v>
      </c>
      <c r="M71" s="70">
        <f>M63</f>
        <v>4.784094091849302</v>
      </c>
      <c r="N71" s="71">
        <f>S63</f>
        <v>5.4626981801249972</v>
      </c>
      <c r="O71" s="2"/>
      <c r="W71" s="5"/>
      <c r="AB71" s="1"/>
      <c r="AC71" s="1"/>
      <c r="AD71" s="1"/>
      <c r="AE71" s="1"/>
      <c r="AF71" s="11"/>
      <c r="AG71" s="11"/>
      <c r="AH71" s="11"/>
      <c r="AI71" s="11"/>
    </row>
    <row r="72" spans="1:35" ht="16" thickBot="1">
      <c r="K72" s="65" t="s">
        <v>48</v>
      </c>
      <c r="L72" s="72">
        <v>1.67</v>
      </c>
      <c r="M72" s="73">
        <f>M64</f>
        <v>1.891486163417105</v>
      </c>
      <c r="N72" s="74">
        <f>S64</f>
        <v>3.2420183133954139</v>
      </c>
      <c r="O72" s="2"/>
      <c r="W72" s="5"/>
      <c r="AB72" s="1"/>
      <c r="AC72" s="1"/>
      <c r="AD72" s="1"/>
      <c r="AE72" s="1"/>
      <c r="AF72" s="11"/>
      <c r="AG72" s="11"/>
      <c r="AH72" s="11"/>
      <c r="AI72" s="11"/>
    </row>
    <row r="73" spans="1:35">
      <c r="K73" s="40"/>
      <c r="L73" s="40"/>
      <c r="M73" s="40"/>
      <c r="N73" s="40"/>
      <c r="O73" s="2"/>
      <c r="W73" s="5"/>
      <c r="AB73" s="1"/>
      <c r="AC73" s="1"/>
      <c r="AD73" s="1"/>
      <c r="AE73" s="1"/>
      <c r="AF73" s="5"/>
      <c r="AG73" s="5"/>
      <c r="AH73" s="5"/>
      <c r="AI73" s="5"/>
    </row>
    <row r="74" spans="1:35">
      <c r="K74" s="40"/>
      <c r="L74" s="40"/>
      <c r="M74" s="40"/>
      <c r="N74" s="40"/>
      <c r="O74" s="40"/>
      <c r="W74" s="5"/>
      <c r="AB74" s="1"/>
      <c r="AC74" s="1"/>
      <c r="AD74" s="1"/>
      <c r="AE74" s="1"/>
      <c r="AF74" s="5"/>
      <c r="AG74" s="5"/>
      <c r="AH74" s="5"/>
      <c r="AI74" s="5"/>
    </row>
    <row r="75" spans="1:35" s="11" customFormat="1">
      <c r="A75" s="16"/>
      <c r="B75" s="7"/>
      <c r="C75" s="7"/>
      <c r="D75" s="7"/>
      <c r="E75" s="16"/>
      <c r="F75" s="32"/>
      <c r="G75" s="2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7"/>
      <c r="W75" s="7"/>
      <c r="X75" s="7"/>
      <c r="Y75" s="7"/>
      <c r="Z75" s="7"/>
      <c r="AA75" s="7"/>
      <c r="AB75" s="1"/>
      <c r="AC75" s="1"/>
      <c r="AD75" s="1"/>
      <c r="AE75" s="1"/>
      <c r="AF75" s="10"/>
      <c r="AG75" s="10"/>
      <c r="AH75" s="10"/>
      <c r="AI75" s="10"/>
    </row>
    <row r="76" spans="1:35" s="11" customFormat="1">
      <c r="A76" s="14"/>
      <c r="E76" s="14"/>
      <c r="F76" s="35"/>
      <c r="G76" s="2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AB76" s="1"/>
      <c r="AC76" s="1"/>
      <c r="AD76" s="1"/>
      <c r="AE76" s="1"/>
    </row>
    <row r="77" spans="1:35" s="11" customFormat="1">
      <c r="A77" s="15"/>
      <c r="B77" s="3"/>
      <c r="C77" s="3"/>
      <c r="D77" s="3"/>
      <c r="E77" s="15"/>
      <c r="F77" s="36"/>
      <c r="G77" s="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3"/>
      <c r="W77" s="3"/>
      <c r="X77" s="3"/>
      <c r="Y77" s="3"/>
      <c r="Z77" s="3"/>
      <c r="AA77" s="1"/>
    </row>
    <row r="78" spans="1:35" s="11" customFormat="1">
      <c r="A78" s="14"/>
      <c r="E78" s="14"/>
      <c r="F78" s="35"/>
      <c r="G78" s="2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AB78" s="1"/>
      <c r="AC78" s="1"/>
      <c r="AD78" s="1"/>
      <c r="AE78" s="1"/>
    </row>
    <row r="79" spans="1:35" s="10" customFormat="1">
      <c r="A79" s="14"/>
      <c r="B79" s="11"/>
      <c r="C79" s="11"/>
      <c r="D79" s="11"/>
      <c r="E79" s="14"/>
      <c r="F79" s="35"/>
      <c r="G79" s="2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11"/>
      <c r="W79" s="11"/>
      <c r="X79" s="11"/>
      <c r="Y79" s="11"/>
      <c r="Z79" s="11"/>
      <c r="AA79" s="11"/>
      <c r="AB79" s="1"/>
      <c r="AC79" s="1"/>
      <c r="AD79" s="1"/>
      <c r="AE79" s="1"/>
      <c r="AF79" s="11"/>
      <c r="AG79" s="11"/>
      <c r="AH79" s="11"/>
      <c r="AI79" s="11"/>
    </row>
    <row r="80" spans="1:35" s="11" customFormat="1">
      <c r="A80" s="30"/>
      <c r="B80" s="1"/>
      <c r="C80" s="1"/>
      <c r="D80" s="1"/>
      <c r="E80" s="30"/>
      <c r="F80" s="31"/>
      <c r="G80" s="2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1"/>
      <c r="W80" s="1"/>
      <c r="X80" s="1"/>
      <c r="Y80" s="1"/>
      <c r="Z80" s="1"/>
      <c r="AA80" s="10"/>
      <c r="AB80" s="1"/>
      <c r="AC80" s="1"/>
      <c r="AD80" s="1"/>
      <c r="AE80" s="1"/>
    </row>
    <row r="81" spans="1:35" s="11" customFormat="1">
      <c r="F81" s="35"/>
      <c r="G81" s="2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AB81" s="12"/>
      <c r="AC81" s="12"/>
      <c r="AD81" s="12"/>
      <c r="AE81" s="12"/>
      <c r="AF81" s="12"/>
      <c r="AG81" s="12"/>
      <c r="AH81" s="12"/>
      <c r="AI81" s="12"/>
    </row>
    <row r="82" spans="1:35" s="11" customFormat="1">
      <c r="A82" s="14"/>
      <c r="B82" s="1"/>
      <c r="C82" s="1"/>
      <c r="D82" s="1"/>
      <c r="E82" s="20"/>
      <c r="F82" s="32"/>
      <c r="G82" s="2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AB82" s="12"/>
      <c r="AC82" s="12"/>
      <c r="AD82" s="12"/>
      <c r="AE82" s="12"/>
      <c r="AF82" s="12"/>
      <c r="AG82" s="12"/>
      <c r="AH82" s="12"/>
      <c r="AI82" s="12"/>
    </row>
    <row r="83" spans="1:35" s="11" customFormat="1">
      <c r="A83" s="20"/>
      <c r="B83" s="10"/>
      <c r="C83" s="10"/>
      <c r="D83" s="10"/>
      <c r="E83" s="20"/>
      <c r="F83" s="32"/>
      <c r="G83" s="2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AA83" s="1"/>
      <c r="AB83" s="12"/>
      <c r="AC83" s="12"/>
      <c r="AD83" s="12"/>
      <c r="AE83" s="12"/>
      <c r="AF83" s="12"/>
      <c r="AG83" s="12"/>
      <c r="AH83" s="12"/>
      <c r="AI83" s="12"/>
    </row>
    <row r="84" spans="1:35" s="11" customFormat="1">
      <c r="A84" s="14"/>
      <c r="E84" s="14"/>
      <c r="F84" s="35"/>
      <c r="G84" s="2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AA84" s="1"/>
      <c r="AB84" s="12"/>
      <c r="AC84" s="12"/>
      <c r="AD84" s="12"/>
      <c r="AE84" s="12"/>
      <c r="AF84" s="12"/>
      <c r="AG84" s="12"/>
      <c r="AH84" s="12"/>
      <c r="AI84" s="12"/>
    </row>
    <row r="110" spans="34:34">
      <c r="AH110" s="11"/>
    </row>
    <row r="111" spans="34:34">
      <c r="AH111" s="11"/>
    </row>
  </sheetData>
  <mergeCells count="1">
    <mergeCell ref="H46:T4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="70" zoomScaleNormal="70" zoomScalePageLayoutView="70" workbookViewId="0">
      <selection activeCell="G4" sqref="G4"/>
    </sheetView>
  </sheetViews>
  <sheetFormatPr baseColWidth="10" defaultColWidth="8.83203125" defaultRowHeight="14" x14ac:dyDescent="0"/>
  <cols>
    <col min="1" max="1" width="9.33203125" style="62" bestFit="1" customWidth="1"/>
    <col min="2" max="2" width="8.83203125" style="62"/>
    <col min="3" max="3" width="34" style="62" customWidth="1"/>
    <col min="4" max="5" width="8.83203125" style="62"/>
    <col min="6" max="6" width="17.6640625" style="62" bestFit="1" customWidth="1"/>
    <col min="7" max="7" width="12" style="62" bestFit="1" customWidth="1"/>
    <col min="8" max="10" width="8.83203125" style="62"/>
    <col min="11" max="11" width="17.33203125" style="62" customWidth="1"/>
    <col min="12" max="16384" width="8.83203125" style="62"/>
  </cols>
  <sheetData>
    <row r="1" spans="1:11">
      <c r="A1" s="148" t="s">
        <v>108</v>
      </c>
      <c r="B1" s="148"/>
      <c r="C1" s="148"/>
    </row>
    <row r="2" spans="1:11" s="104" customFormat="1">
      <c r="A2" s="104" t="s">
        <v>0</v>
      </c>
      <c r="B2" s="104" t="s">
        <v>92</v>
      </c>
      <c r="C2" s="104" t="s">
        <v>93</v>
      </c>
      <c r="D2" s="104" t="s">
        <v>97</v>
      </c>
      <c r="E2" s="104" t="s">
        <v>98</v>
      </c>
      <c r="F2" s="104" t="s">
        <v>99</v>
      </c>
      <c r="G2" s="104" t="s">
        <v>112</v>
      </c>
      <c r="H2" s="104" t="s">
        <v>100</v>
      </c>
      <c r="I2" s="104" t="s">
        <v>101</v>
      </c>
      <c r="J2" s="104" t="s">
        <v>109</v>
      </c>
    </row>
    <row r="3" spans="1:11">
      <c r="A3" s="62" t="s">
        <v>71</v>
      </c>
      <c r="B3" s="55">
        <v>41779</v>
      </c>
      <c r="C3" s="62" t="s">
        <v>94</v>
      </c>
      <c r="D3" s="62">
        <v>17.395380918444602</v>
      </c>
      <c r="E3" s="62">
        <v>8.6494378539290508</v>
      </c>
      <c r="F3" s="62">
        <v>1.1610416207118599</v>
      </c>
      <c r="G3" s="62">
        <f>F3*'flow correction'!$G$4</f>
        <v>0.96366454519084366</v>
      </c>
      <c r="H3" s="62">
        <v>5.9292957941339202</v>
      </c>
      <c r="I3" s="62">
        <v>1.9752909468901401</v>
      </c>
      <c r="J3" s="62">
        <v>9.1887002989816402</v>
      </c>
    </row>
    <row r="4" spans="1:11">
      <c r="B4" s="55"/>
      <c r="D4" s="62">
        <v>20.111753056238101</v>
      </c>
      <c r="E4" s="62">
        <v>7.6518317890899201</v>
      </c>
      <c r="F4" s="62">
        <v>0.68045669197224801</v>
      </c>
      <c r="G4" s="62">
        <f>F4*'flow correction'!$G$4</f>
        <v>0.56477905433696585</v>
      </c>
      <c r="H4" s="62">
        <v>4.8006682966585199</v>
      </c>
      <c r="I4" s="62">
        <v>1.33687166793602</v>
      </c>
      <c r="J4" s="62">
        <v>7.7836541063982203</v>
      </c>
    </row>
    <row r="5" spans="1:11">
      <c r="B5" s="55"/>
      <c r="D5" s="62">
        <v>23.098778118604699</v>
      </c>
      <c r="E5" s="62">
        <v>7.1647249840505696</v>
      </c>
      <c r="F5" s="62">
        <v>1.0324633564802801</v>
      </c>
      <c r="G5" s="62">
        <f>F5*'flow correction'!$G$4</f>
        <v>0.85694458587863243</v>
      </c>
      <c r="H5" s="62">
        <v>5.3735176837725298</v>
      </c>
      <c r="I5" s="62">
        <v>1.4536417743097301</v>
      </c>
      <c r="J5" s="62">
        <v>7.3728673368512299</v>
      </c>
    </row>
    <row r="6" spans="1:11" s="54" customFormat="1">
      <c r="A6" s="54" t="s">
        <v>71</v>
      </c>
      <c r="B6" s="55">
        <v>41778</v>
      </c>
      <c r="C6" s="54" t="s">
        <v>95</v>
      </c>
      <c r="D6" s="62">
        <v>24.970065017948201</v>
      </c>
      <c r="E6" s="62">
        <v>11.4604486596845</v>
      </c>
      <c r="F6" s="62">
        <v>0.57324315607542398</v>
      </c>
      <c r="G6" s="62">
        <f>F6*'flow correction'!$G$7</f>
        <v>0.48954427272356626</v>
      </c>
      <c r="H6" s="62">
        <v>12.9157197258188</v>
      </c>
      <c r="I6" s="62">
        <v>4.5280827337240401</v>
      </c>
      <c r="J6" s="62">
        <v>37.138527671933502</v>
      </c>
    </row>
    <row r="7" spans="1:11" s="54" customFormat="1">
      <c r="B7" s="55"/>
      <c r="D7" s="98">
        <v>22.985109365949</v>
      </c>
      <c r="E7" s="98">
        <v>16.5353393710209</v>
      </c>
      <c r="F7" s="98">
        <v>0.62689474310012205</v>
      </c>
      <c r="G7" s="62">
        <f>F7*'flow correction'!$G$7</f>
        <v>0.53536222427188818</v>
      </c>
      <c r="H7" s="98">
        <v>12.090573041290799</v>
      </c>
      <c r="I7" s="98">
        <v>7.25306881051175</v>
      </c>
      <c r="J7" s="98">
        <v>29.0067974492719</v>
      </c>
      <c r="K7" s="105"/>
    </row>
    <row r="8" spans="1:11" s="54" customFormat="1">
      <c r="B8" s="55"/>
      <c r="D8" s="62">
        <v>26.9415680290845</v>
      </c>
      <c r="E8" s="62">
        <v>13.303975764117</v>
      </c>
      <c r="F8" s="62">
        <v>0.757875404987569</v>
      </c>
      <c r="G8" s="62">
        <f>F8*'flow correction'!$G$7</f>
        <v>0.64721847965839807</v>
      </c>
      <c r="H8" s="62">
        <v>12.708427210293401</v>
      </c>
      <c r="I8" s="62">
        <v>6.6701723916119899</v>
      </c>
      <c r="J8" s="62">
        <v>25.502411902288902</v>
      </c>
    </row>
    <row r="9" spans="1:11" s="54" customFormat="1">
      <c r="B9" s="55"/>
      <c r="D9" s="62">
        <v>27.248394061827401</v>
      </c>
      <c r="E9" s="62">
        <v>9.1650840131371503</v>
      </c>
      <c r="F9" s="62">
        <v>0.70431105887911905</v>
      </c>
      <c r="G9" s="62">
        <f>F9*'flow correction'!$G$7</f>
        <v>0.60147503103338851</v>
      </c>
      <c r="H9" s="62">
        <v>9.0035254130108306</v>
      </c>
      <c r="I9" s="62">
        <v>0.107733099304715</v>
      </c>
      <c r="J9" s="62">
        <v>668.25533026567598</v>
      </c>
    </row>
    <row r="10" spans="1:11" s="54" customFormat="1">
      <c r="B10" s="55"/>
      <c r="D10" s="62">
        <v>37.183618766892003</v>
      </c>
      <c r="E10" s="62">
        <v>8.6728596800683704</v>
      </c>
      <c r="F10" s="62">
        <v>0.85044220078030897</v>
      </c>
      <c r="G10" s="62">
        <f>F10*'flow correction'!$G$7</f>
        <v>0.72626965409360655</v>
      </c>
      <c r="H10" s="62">
        <v>15.1308396464647</v>
      </c>
      <c r="I10" s="62">
        <v>8.3965197274759298</v>
      </c>
      <c r="J10" s="62">
        <v>14.8039044134396</v>
      </c>
    </row>
    <row r="11" spans="1:11" s="95" customFormat="1">
      <c r="A11" s="95" t="s">
        <v>96</v>
      </c>
      <c r="B11" s="97">
        <v>41779</v>
      </c>
      <c r="C11" s="95" t="s">
        <v>94</v>
      </c>
      <c r="D11" s="95">
        <v>40.0864214073491</v>
      </c>
      <c r="E11" s="95">
        <v>5.0309741836406401</v>
      </c>
      <c r="F11" s="95">
        <v>1.3209122187504201</v>
      </c>
      <c r="G11" s="62">
        <f>F11*'flow correction'!$G$9</f>
        <v>1.0494918998291007</v>
      </c>
      <c r="H11" s="95">
        <v>19.3593493635078</v>
      </c>
      <c r="I11" s="95">
        <v>3.8798621503395898</v>
      </c>
      <c r="J11" s="95">
        <v>1.19900924594634</v>
      </c>
    </row>
    <row r="12" spans="1:11" s="54" customFormat="1">
      <c r="B12" s="55"/>
      <c r="D12" s="54">
        <v>34.8203383839219</v>
      </c>
      <c r="E12" s="54">
        <v>5.6689051192431599</v>
      </c>
      <c r="F12" s="54">
        <v>1.3830822394643101</v>
      </c>
      <c r="G12" s="62">
        <f>F12*'flow correction'!$G$9</f>
        <v>1.0988872587524654</v>
      </c>
      <c r="H12" s="54">
        <v>17.202464612822599</v>
      </c>
      <c r="I12" s="54">
        <v>3.8118790325772798</v>
      </c>
      <c r="J12" s="54">
        <v>1.7299985667848199</v>
      </c>
    </row>
    <row r="13" spans="1:11" s="54" customFormat="1">
      <c r="B13" s="55"/>
      <c r="D13" s="54">
        <v>50.4802528844126</v>
      </c>
      <c r="E13" s="54">
        <v>8.4026745827597509</v>
      </c>
      <c r="F13" s="54">
        <v>0.97156114717532005</v>
      </c>
      <c r="G13" s="62">
        <f>F13*'flow correction'!$G$9</f>
        <v>0.77192529501600771</v>
      </c>
      <c r="H13" s="54">
        <v>25.139480085132298</v>
      </c>
      <c r="I13" s="54">
        <v>16.159968916518601</v>
      </c>
      <c r="J13" s="54">
        <v>0.430974019414262</v>
      </c>
    </row>
    <row r="14" spans="1:11" s="54" customFormat="1">
      <c r="A14" s="54" t="s">
        <v>96</v>
      </c>
      <c r="B14" s="55">
        <v>41778</v>
      </c>
      <c r="C14" s="54" t="s">
        <v>95</v>
      </c>
      <c r="D14" s="62">
        <v>60.115826069491703</v>
      </c>
      <c r="E14" s="62">
        <v>9.9071742539872396</v>
      </c>
      <c r="F14" s="62">
        <v>1.46738003475402</v>
      </c>
      <c r="G14" s="62">
        <f>F14*'flow correction'!$G$15</f>
        <v>1.2472730295409171</v>
      </c>
      <c r="H14" s="62">
        <v>61.212429605792401</v>
      </c>
      <c r="I14" s="62">
        <v>6.7348515020482997</v>
      </c>
      <c r="J14" s="62">
        <v>10.312316067832301</v>
      </c>
      <c r="K14" s="54" t="s">
        <v>110</v>
      </c>
    </row>
    <row r="15" spans="1:11" s="54" customFormat="1">
      <c r="B15" s="55"/>
      <c r="D15" s="54">
        <v>56.188381884883597</v>
      </c>
      <c r="E15" s="54">
        <v>5.2743670068466404</v>
      </c>
      <c r="F15" s="54">
        <v>1.4319608803603801</v>
      </c>
      <c r="G15" s="62">
        <f>F15*'flow correction'!$G$15</f>
        <v>1.2171667483063231</v>
      </c>
      <c r="H15" s="54">
        <v>97.134505796816697</v>
      </c>
      <c r="I15" s="54">
        <v>8.3243807630672499</v>
      </c>
      <c r="J15" s="54">
        <v>8.4428303727384808</v>
      </c>
      <c r="K15" s="54" t="s">
        <v>110</v>
      </c>
    </row>
    <row r="16" spans="1:11" s="54" customFormat="1">
      <c r="B16" s="55"/>
      <c r="D16" s="54">
        <v>70.710634785328097</v>
      </c>
      <c r="E16" s="54">
        <v>9.8998663015571093</v>
      </c>
      <c r="F16" s="54">
        <v>4.0829800141035903</v>
      </c>
      <c r="G16" s="62">
        <f>F16*'flow correction'!$G$15</f>
        <v>3.470533011988052</v>
      </c>
      <c r="H16" s="54">
        <v>87.109138993401899</v>
      </c>
      <c r="I16" s="54">
        <v>8.7038594968847605</v>
      </c>
      <c r="J16" s="54">
        <v>7.6281881092521298</v>
      </c>
      <c r="K16" s="54" t="s">
        <v>111</v>
      </c>
    </row>
    <row r="17" spans="1:11" s="54" customFormat="1">
      <c r="B17" s="55"/>
      <c r="D17" s="54">
        <v>74.014145439937806</v>
      </c>
      <c r="E17" s="54">
        <v>12.1443752982421</v>
      </c>
      <c r="F17" s="54">
        <v>4.1239692810989101</v>
      </c>
      <c r="G17" s="62">
        <f>F17*'flow correction'!$G$15</f>
        <v>3.505373888934074</v>
      </c>
      <c r="H17" s="54">
        <v>90.363092116762601</v>
      </c>
      <c r="I17" s="54">
        <v>11.3613856639821</v>
      </c>
      <c r="J17" s="54">
        <v>5.3491711692980504</v>
      </c>
      <c r="K17" s="54" t="s">
        <v>111</v>
      </c>
    </row>
    <row r="18" spans="1:11" s="54" customFormat="1">
      <c r="B18" s="55"/>
      <c r="D18" s="54">
        <v>72.296459323717002</v>
      </c>
      <c r="E18" s="54">
        <v>11.782261800469101</v>
      </c>
      <c r="F18" s="54">
        <v>5.0192659437827301</v>
      </c>
      <c r="G18" s="62">
        <f>F18*'flow correction'!$G$15</f>
        <v>4.2663760522153211</v>
      </c>
      <c r="H18" s="54">
        <v>217.871084337349</v>
      </c>
      <c r="I18" s="54">
        <v>6.3424931922915899</v>
      </c>
      <c r="J18" s="54">
        <v>9.7234565204075896</v>
      </c>
    </row>
    <row r="19" spans="1:11" s="95" customFormat="1">
      <c r="A19" s="95" t="s">
        <v>71</v>
      </c>
      <c r="B19" s="97">
        <v>41792</v>
      </c>
      <c r="C19" s="95" t="s">
        <v>94</v>
      </c>
      <c r="D19" s="95">
        <v>27.839922450808199</v>
      </c>
      <c r="E19" s="95">
        <v>12.581978388248899</v>
      </c>
      <c r="F19" s="95">
        <v>0.757687403946678</v>
      </c>
      <c r="G19" s="62">
        <f>F19*'flow correction'!$G$17</f>
        <v>0.60199821135489484</v>
      </c>
      <c r="H19" s="95">
        <v>14.9857582079719</v>
      </c>
      <c r="I19" s="95">
        <v>4.47078951204902</v>
      </c>
      <c r="J19" s="95">
        <v>36.043644839527403</v>
      </c>
    </row>
    <row r="20" spans="1:11" s="54" customFormat="1">
      <c r="B20" s="55"/>
      <c r="D20" s="54">
        <v>30.279910495586201</v>
      </c>
      <c r="E20" s="54">
        <v>12.3291004369456</v>
      </c>
      <c r="F20" s="54">
        <v>0.98336109599307697</v>
      </c>
      <c r="G20" s="62">
        <f>F20*'flow correction'!$G$17</f>
        <v>0.78130059681641728</v>
      </c>
      <c r="H20" s="54">
        <v>18.3741653058844</v>
      </c>
      <c r="I20" s="54">
        <v>4.1291790964703896</v>
      </c>
      <c r="J20" s="54">
        <v>39.886089073506398</v>
      </c>
    </row>
    <row r="21" spans="1:11" s="54" customFormat="1">
      <c r="B21" s="55"/>
      <c r="D21" s="54">
        <v>39.080343988681904</v>
      </c>
      <c r="E21" s="54">
        <v>15.827007172321</v>
      </c>
      <c r="F21" s="54">
        <v>0.73224074830414598</v>
      </c>
      <c r="G21" s="62">
        <f>F21*'flow correction'!$G$17</f>
        <v>0.58178032057041729</v>
      </c>
      <c r="H21" s="54">
        <v>18.3856032443393</v>
      </c>
      <c r="I21" s="54">
        <v>4.6604901305940301</v>
      </c>
      <c r="J21" s="54">
        <v>34.682572914827396</v>
      </c>
    </row>
    <row r="22" spans="1:11" s="54" customFormat="1">
      <c r="A22" s="54" t="s">
        <v>71</v>
      </c>
      <c r="B22" s="55">
        <v>41793</v>
      </c>
      <c r="C22" s="54" t="s">
        <v>95</v>
      </c>
      <c r="D22" s="54">
        <v>57.197110683301602</v>
      </c>
      <c r="E22" s="54">
        <v>13.633357896654401</v>
      </c>
      <c r="F22" s="54">
        <v>1.8533816272294199</v>
      </c>
      <c r="G22" s="62">
        <f>F22*'flow correction'!$G$22</f>
        <v>1.9513103051005964</v>
      </c>
      <c r="H22" s="54">
        <v>33.858973063973202</v>
      </c>
      <c r="I22" s="54">
        <v>12.092845606716899</v>
      </c>
      <c r="J22" s="54">
        <v>12.5497209370834</v>
      </c>
    </row>
    <row r="23" spans="1:11" s="54" customFormat="1">
      <c r="B23" s="55"/>
      <c r="D23" s="54">
        <v>61.694046358948398</v>
      </c>
      <c r="E23" s="54">
        <v>14.85018473743</v>
      </c>
      <c r="F23" s="54">
        <v>2.19476339854595</v>
      </c>
      <c r="G23" s="62">
        <f>F23*'flow correction'!$G$22</f>
        <v>2.3107299510907433</v>
      </c>
      <c r="H23" s="54">
        <v>52.783521856957698</v>
      </c>
      <c r="I23" s="54">
        <v>11.543959981624299</v>
      </c>
      <c r="J23" s="54">
        <v>12.0774621478231</v>
      </c>
    </row>
    <row r="24" spans="1:11" s="54" customFormat="1">
      <c r="B24" s="55"/>
      <c r="D24" s="54">
        <v>46.219508934313403</v>
      </c>
      <c r="E24" s="54">
        <v>12.1254227288577</v>
      </c>
      <c r="F24" s="54">
        <v>1.7410562094980999</v>
      </c>
      <c r="G24" s="62">
        <f>F24*'flow correction'!$G$22</f>
        <v>1.8330498551621215</v>
      </c>
      <c r="H24" s="54">
        <v>93.681158175101004</v>
      </c>
      <c r="I24" s="54">
        <v>4.1700401841598698</v>
      </c>
      <c r="J24" s="54">
        <v>28.6656510080342</v>
      </c>
    </row>
    <row r="25" spans="1:11" s="54" customFormat="1">
      <c r="B25" s="55"/>
      <c r="D25" s="54">
        <v>60.020628199431798</v>
      </c>
      <c r="E25" s="54">
        <v>9.9177427829957008</v>
      </c>
      <c r="F25" s="54">
        <v>1.28695523933482</v>
      </c>
      <c r="G25" s="62">
        <f>F25*'flow correction'!$G$22</f>
        <v>1.3549551715753492</v>
      </c>
      <c r="H25" s="54">
        <v>168.41541381928599</v>
      </c>
      <c r="I25" s="54">
        <v>5.6564121245116796</v>
      </c>
      <c r="J25" s="54">
        <v>20.1572057149389</v>
      </c>
    </row>
    <row r="26" spans="1:11" s="54" customFormat="1">
      <c r="B26" s="55"/>
      <c r="D26" s="54">
        <v>30.652064739716799</v>
      </c>
      <c r="E26" s="54">
        <v>10.0490556404781</v>
      </c>
      <c r="F26" s="54">
        <v>0.70221417152378496</v>
      </c>
      <c r="G26" s="62">
        <f>F26*'flow correction'!$G$22</f>
        <v>0.73931765004619043</v>
      </c>
      <c r="H26" s="54">
        <v>17.476155467383801</v>
      </c>
      <c r="I26" s="54">
        <v>7.7886772763773804</v>
      </c>
      <c r="J26" s="54">
        <v>19.305130263234801</v>
      </c>
    </row>
    <row r="27" spans="1:11" s="95" customFormat="1">
      <c r="A27" s="95" t="s">
        <v>96</v>
      </c>
      <c r="B27" s="97">
        <v>41793</v>
      </c>
      <c r="C27" s="95" t="s">
        <v>94</v>
      </c>
      <c r="D27" s="95">
        <v>37.2376801802071</v>
      </c>
      <c r="E27" s="95">
        <v>6.6856455937115102</v>
      </c>
      <c r="F27" s="95">
        <v>0.68123839895590499</v>
      </c>
      <c r="G27" s="62">
        <f>F27*'flow correction'!$G$24</f>
        <v>0.64487370132149824</v>
      </c>
      <c r="H27" s="95">
        <v>1.68291777105372</v>
      </c>
      <c r="I27" s="95">
        <v>1.6117505310281299</v>
      </c>
      <c r="J27" s="95">
        <v>78.386379498481901</v>
      </c>
    </row>
    <row r="28" spans="1:11" s="54" customFormat="1">
      <c r="B28" s="55"/>
      <c r="D28" s="54">
        <v>54.861368827184599</v>
      </c>
      <c r="E28" s="54">
        <v>6.9947611182996603</v>
      </c>
      <c r="F28" s="54">
        <v>1.0614990477911901</v>
      </c>
      <c r="G28" s="62">
        <f>F28*'flow correction'!$G$24</f>
        <v>1.0048359296062801</v>
      </c>
      <c r="H28" s="54">
        <v>2.4232456503157098</v>
      </c>
      <c r="I28" s="54">
        <v>1.6683723536752599</v>
      </c>
      <c r="J28" s="54">
        <v>68.371732240396994</v>
      </c>
    </row>
    <row r="29" spans="1:11" s="54" customFormat="1">
      <c r="B29" s="55"/>
      <c r="D29" s="54">
        <v>36.960261061868103</v>
      </c>
      <c r="E29" s="54">
        <v>6.1937303276004299</v>
      </c>
      <c r="F29" s="54">
        <v>0.91305625609195595</v>
      </c>
      <c r="G29" s="62">
        <f>F29*'flow correction'!$G$24</f>
        <v>0.86431705594282193</v>
      </c>
      <c r="H29" s="54">
        <v>1.6</v>
      </c>
      <c r="I29" s="54">
        <v>1.4316640612398199</v>
      </c>
      <c r="J29" s="54">
        <v>106.575279885222</v>
      </c>
    </row>
    <row r="30" spans="1:11" s="54" customFormat="1">
      <c r="A30" s="54" t="s">
        <v>96</v>
      </c>
      <c r="B30" s="55">
        <v>41792</v>
      </c>
      <c r="C30" s="54" t="s">
        <v>95</v>
      </c>
      <c r="D30" s="62">
        <v>65.443014936678594</v>
      </c>
      <c r="E30" s="62">
        <v>6.9931940765242002</v>
      </c>
      <c r="F30" s="62">
        <v>2.0764218985622001</v>
      </c>
      <c r="G30" s="62">
        <f>F30*'flow correction'!$G$28</f>
        <v>1.6497598646110629</v>
      </c>
      <c r="H30" s="62">
        <v>172.80391965678601</v>
      </c>
      <c r="I30" s="62">
        <v>4.1257354393405601</v>
      </c>
      <c r="J30" s="54">
        <v>33.023927272883803</v>
      </c>
    </row>
    <row r="31" spans="1:11" s="54" customFormat="1">
      <c r="B31" s="55"/>
      <c r="D31" s="54">
        <v>52.965455879794803</v>
      </c>
      <c r="E31" s="54">
        <v>6.2422009072473399</v>
      </c>
      <c r="F31" s="54">
        <v>1.62287974712401</v>
      </c>
      <c r="G31" s="62">
        <f>F31*'flow correction'!$G$28</f>
        <v>1.2894113059341448</v>
      </c>
      <c r="H31" s="54">
        <v>60.910789153367602</v>
      </c>
      <c r="I31" s="54">
        <v>3.2686786264385002</v>
      </c>
      <c r="J31" s="54">
        <v>41.4787621158344</v>
      </c>
    </row>
    <row r="32" spans="1:11">
      <c r="A32" s="54"/>
      <c r="B32" s="92"/>
      <c r="D32" s="54">
        <v>49.620639369707597</v>
      </c>
      <c r="E32" s="54">
        <v>7.87688786073966</v>
      </c>
      <c r="F32" s="54">
        <v>1.7249741933746701</v>
      </c>
      <c r="G32" s="62">
        <f>F32*'flow correction'!$G$28</f>
        <v>1.3705274413113817</v>
      </c>
      <c r="H32" s="54">
        <v>26.361407019704401</v>
      </c>
      <c r="I32" s="54">
        <v>2.3796877944798598</v>
      </c>
      <c r="J32" s="54">
        <v>55.2917907248532</v>
      </c>
    </row>
    <row r="33" spans="1:11">
      <c r="A33" s="148"/>
      <c r="B33" s="148"/>
      <c r="C33" s="148"/>
      <c r="D33" s="62">
        <v>58.273176775708997</v>
      </c>
      <c r="E33" s="62">
        <v>6.5612986214749496</v>
      </c>
      <c r="F33" s="62">
        <v>2.2026979654318599</v>
      </c>
      <c r="G33" s="62">
        <f>F33*'flow correction'!$G$28</f>
        <v>1.7500887944527106</v>
      </c>
      <c r="H33" s="62">
        <v>74.583006732991606</v>
      </c>
      <c r="I33" s="62">
        <v>2.72625736620004</v>
      </c>
      <c r="J33" s="54">
        <v>50.2008592850448</v>
      </c>
    </row>
    <row r="34" spans="1:11">
      <c r="A34" s="54"/>
      <c r="B34" s="92"/>
      <c r="D34" s="62">
        <v>51.192720736027503</v>
      </c>
      <c r="E34" s="62">
        <v>7.5657090466956003</v>
      </c>
      <c r="F34" s="62">
        <v>1.5910478385781399</v>
      </c>
      <c r="G34" s="62">
        <f>F34*'flow correction'!$G$28</f>
        <v>1.2641202005141385</v>
      </c>
      <c r="H34" s="62">
        <v>43.195581570997</v>
      </c>
      <c r="I34" s="62">
        <v>2.9219552791368999</v>
      </c>
      <c r="J34" s="62">
        <v>45.4865512158553</v>
      </c>
    </row>
    <row r="35" spans="1:11" s="95" customFormat="1">
      <c r="A35" s="95" t="s">
        <v>69</v>
      </c>
      <c r="B35" s="97">
        <v>41801</v>
      </c>
      <c r="C35" s="95" t="s">
        <v>94</v>
      </c>
      <c r="D35" s="95">
        <v>59.987489153701397</v>
      </c>
      <c r="E35" s="95">
        <v>12.030349940507501</v>
      </c>
      <c r="F35" s="95">
        <v>4.5712278731428198</v>
      </c>
      <c r="G35" s="95">
        <f>F35*'flow correction'!$G$30</f>
        <v>3.1657895784579564</v>
      </c>
      <c r="H35" s="95">
        <v>126.643501648447</v>
      </c>
      <c r="I35" s="95">
        <v>5.6657583419171402</v>
      </c>
      <c r="J35" s="95">
        <v>10.0391877738722</v>
      </c>
    </row>
    <row r="36" spans="1:11" s="54" customFormat="1">
      <c r="B36" s="55"/>
      <c r="D36" s="54">
        <v>57.916370301616197</v>
      </c>
      <c r="E36" s="54">
        <v>9.8203413546093792</v>
      </c>
      <c r="F36" s="54">
        <v>4.3773713139821302</v>
      </c>
      <c r="G36" s="62">
        <f>F36*'flow correction'!$G$30</f>
        <v>3.0315348242129683</v>
      </c>
      <c r="H36" s="54">
        <v>110.73597524456</v>
      </c>
      <c r="I36" s="54">
        <v>3.2115409288964201</v>
      </c>
      <c r="J36" s="54">
        <v>20.655786717365501</v>
      </c>
    </row>
    <row r="37" spans="1:11" s="54" customFormat="1">
      <c r="B37" s="55"/>
      <c r="D37" s="54">
        <v>47.727752392988698</v>
      </c>
      <c r="E37" s="54">
        <v>8.4766227970234596</v>
      </c>
      <c r="F37" s="54">
        <v>3.4802776770939801</v>
      </c>
      <c r="G37" s="62">
        <f>F37*'flow correction'!$G$30</f>
        <v>2.4102554294036951</v>
      </c>
      <c r="H37" s="54">
        <v>86.962640886125101</v>
      </c>
      <c r="I37" s="54">
        <v>3.4254731570808001</v>
      </c>
      <c r="J37" s="54">
        <v>21.098753874439101</v>
      </c>
    </row>
    <row r="38" spans="1:11" s="54" customFormat="1">
      <c r="A38" s="54" t="s">
        <v>69</v>
      </c>
      <c r="B38" s="55">
        <v>41802</v>
      </c>
      <c r="C38" s="54" t="s">
        <v>95</v>
      </c>
      <c r="D38" s="54">
        <v>57.880983787390797</v>
      </c>
      <c r="E38" s="54">
        <v>7.0882379915741804</v>
      </c>
      <c r="F38" s="54">
        <v>3.8492790155341399</v>
      </c>
      <c r="G38" s="54">
        <f>F38</f>
        <v>3.8492790155341399</v>
      </c>
      <c r="H38" s="54">
        <v>295.518955482146</v>
      </c>
      <c r="I38" s="54">
        <v>23.720332430699099</v>
      </c>
      <c r="J38" s="54">
        <v>79.512220568708997</v>
      </c>
      <c r="K38" s="54" t="s">
        <v>146</v>
      </c>
    </row>
    <row r="39" spans="1:11" s="54" customFormat="1">
      <c r="B39" s="55"/>
      <c r="D39" s="54">
        <v>57.697419716036997</v>
      </c>
      <c r="E39" s="54">
        <v>8.4269900566455593</v>
      </c>
      <c r="F39" s="54">
        <v>3.8352095169815499</v>
      </c>
      <c r="G39" s="54">
        <f>F39</f>
        <v>3.8352095169815499</v>
      </c>
      <c r="H39" s="54">
        <v>263.612850971922</v>
      </c>
      <c r="I39" s="54">
        <v>21.0979444772065</v>
      </c>
      <c r="J39" s="54" t="s">
        <v>19</v>
      </c>
      <c r="K39" s="54" t="s">
        <v>146</v>
      </c>
    </row>
    <row r="40" spans="1:11" s="54" customFormat="1">
      <c r="B40" s="55"/>
      <c r="D40" s="54">
        <v>57.125513757444203</v>
      </c>
      <c r="E40" s="54">
        <v>6.9369738343774703</v>
      </c>
      <c r="F40" s="54">
        <v>2.8546273481435902</v>
      </c>
      <c r="G40" s="54">
        <f>F40</f>
        <v>2.8546273481435902</v>
      </c>
      <c r="H40" s="54">
        <v>272.132052330335</v>
      </c>
      <c r="I40" s="54">
        <v>17.703370714445999</v>
      </c>
      <c r="J40" s="54" t="s">
        <v>19</v>
      </c>
      <c r="K40" s="54" t="s">
        <v>146</v>
      </c>
    </row>
    <row r="41" spans="1:11" s="54" customFormat="1">
      <c r="B41" s="55"/>
      <c r="D41" s="54">
        <v>60.033894870174599</v>
      </c>
      <c r="E41" s="54">
        <v>8.5613625538037006</v>
      </c>
      <c r="F41" s="54">
        <v>3.6107957599682701</v>
      </c>
      <c r="G41" s="54">
        <f>F41</f>
        <v>3.6107957599682701</v>
      </c>
      <c r="H41" s="54">
        <v>360.43955728868002</v>
      </c>
      <c r="I41" s="54">
        <v>22.572610827233699</v>
      </c>
      <c r="J41" s="54" t="s">
        <v>19</v>
      </c>
      <c r="K41" s="54" t="s">
        <v>146</v>
      </c>
    </row>
    <row r="42" spans="1:11" s="54" customFormat="1">
      <c r="B42" s="55"/>
      <c r="D42" s="54">
        <v>64.493897924905795</v>
      </c>
      <c r="E42" s="54">
        <v>8.7920152225366408</v>
      </c>
      <c r="F42" s="54">
        <v>3.5913340719231099</v>
      </c>
      <c r="G42" s="54">
        <f>F42</f>
        <v>3.5913340719231099</v>
      </c>
      <c r="H42" s="54">
        <v>313.79867155290901</v>
      </c>
      <c r="I42" s="54">
        <v>15.5519545039901</v>
      </c>
      <c r="J42" s="54" t="s">
        <v>19</v>
      </c>
      <c r="K42" s="54" t="s">
        <v>146</v>
      </c>
    </row>
    <row r="43" spans="1:11" s="95" customFormat="1">
      <c r="A43" s="95" t="s">
        <v>71</v>
      </c>
      <c r="B43" s="97">
        <v>41800</v>
      </c>
      <c r="C43" s="95" t="s">
        <v>94</v>
      </c>
      <c r="D43" s="95">
        <v>39.812372460658601</v>
      </c>
      <c r="E43" s="95">
        <v>9.4730797993906197</v>
      </c>
      <c r="F43" s="95">
        <v>1.2889368357436799</v>
      </c>
      <c r="G43" s="95">
        <f>F43*'flow correction'!$G$38</f>
        <v>1.0240868010018278</v>
      </c>
      <c r="H43" s="95">
        <v>114.675329483193</v>
      </c>
      <c r="I43" s="95">
        <v>2.5724171001772902</v>
      </c>
      <c r="J43" s="95">
        <v>121.38974183527699</v>
      </c>
      <c r="K43" s="95" t="s">
        <v>146</v>
      </c>
    </row>
    <row r="44" spans="1:11" s="54" customFormat="1">
      <c r="B44" s="55"/>
      <c r="D44" s="54">
        <v>29.1200967531346</v>
      </c>
      <c r="E44" s="54">
        <v>8.4282124433661902</v>
      </c>
      <c r="F44" s="54">
        <v>1.0430534150519399</v>
      </c>
      <c r="G44" s="62">
        <f>F44*'flow correction'!$G$38</f>
        <v>0.82872737086318515</v>
      </c>
      <c r="H44" s="62">
        <v>109.764699453552</v>
      </c>
      <c r="I44" s="54">
        <v>2.4085180999533602</v>
      </c>
      <c r="J44" s="54">
        <v>128.254216104005</v>
      </c>
      <c r="K44" s="54" t="s">
        <v>146</v>
      </c>
    </row>
    <row r="45" spans="1:11" s="54" customFormat="1">
      <c r="B45" s="55"/>
      <c r="D45" s="54">
        <v>21.5551437163999</v>
      </c>
      <c r="E45" s="54">
        <v>6.1797673045331702</v>
      </c>
      <c r="F45" s="54">
        <v>1.20629280225828</v>
      </c>
      <c r="G45" s="62">
        <f>F45*'flow correction'!$G$38</f>
        <v>0.95842441823260593</v>
      </c>
      <c r="H45" s="62">
        <v>63.288978494623599</v>
      </c>
      <c r="I45" s="54">
        <v>2.3708532001231299</v>
      </c>
      <c r="J45" s="54">
        <v>129.21045467332701</v>
      </c>
      <c r="K45" s="54" t="s">
        <v>146</v>
      </c>
    </row>
    <row r="46" spans="1:11" s="54" customFormat="1">
      <c r="A46" s="54" t="s">
        <v>71</v>
      </c>
      <c r="B46" s="55">
        <v>41801</v>
      </c>
      <c r="C46" s="54" t="s">
        <v>95</v>
      </c>
      <c r="D46" s="54">
        <v>54.658508003499598</v>
      </c>
      <c r="E46" s="54">
        <v>8.0285477148486599</v>
      </c>
      <c r="F46" s="54">
        <v>3.05420998513469</v>
      </c>
      <c r="G46" s="62">
        <f>F46*'flow correction'!$G$43</f>
        <v>2.0968714726288491</v>
      </c>
      <c r="H46" s="54">
        <v>429.934753483387</v>
      </c>
      <c r="I46" s="54">
        <v>15.950170768743201</v>
      </c>
      <c r="J46" s="54">
        <v>6.9689735816528602</v>
      </c>
    </row>
    <row r="47" spans="1:11" s="54" customFormat="1">
      <c r="B47" s="55"/>
      <c r="D47" s="54">
        <v>65.288840603156103</v>
      </c>
      <c r="E47" s="54">
        <v>10.5183588715157</v>
      </c>
      <c r="F47" s="54">
        <v>5.1615531672075203</v>
      </c>
      <c r="G47" s="62">
        <f>F47*'flow correction'!$G$43</f>
        <v>3.5436704232689613</v>
      </c>
      <c r="H47" s="54">
        <v>539.58194271481898</v>
      </c>
      <c r="I47" s="54">
        <v>16.4551114484076</v>
      </c>
      <c r="J47" s="54">
        <v>7.4679691896861398</v>
      </c>
    </row>
    <row r="48" spans="1:11">
      <c r="A48" s="54"/>
      <c r="B48" s="92"/>
      <c r="D48" s="54">
        <v>58.744040669088598</v>
      </c>
      <c r="E48" s="54">
        <v>10.840870004690601</v>
      </c>
      <c r="F48" s="54">
        <v>4.6452058787757204</v>
      </c>
      <c r="G48" s="62">
        <f>F48*'flow correction'!$G$43</f>
        <v>3.189171582537107</v>
      </c>
      <c r="H48" s="54">
        <v>395.71812481337702</v>
      </c>
      <c r="I48" s="54">
        <v>12.691964638761799</v>
      </c>
      <c r="J48" s="54">
        <v>7.7625113655254303</v>
      </c>
    </row>
    <row r="49" spans="1:12">
      <c r="A49" s="54"/>
      <c r="B49" s="92"/>
      <c r="D49" s="62">
        <v>57.181837866945202</v>
      </c>
      <c r="E49" s="62">
        <v>11.0370481904983</v>
      </c>
      <c r="F49" s="62">
        <v>4.5286955538960401</v>
      </c>
      <c r="G49" s="62">
        <f>F49*'flow correction'!$G$43</f>
        <v>3.1091812813803426</v>
      </c>
      <c r="H49" s="62">
        <v>378.48973607038101</v>
      </c>
      <c r="I49" s="62">
        <v>12.056269240192099</v>
      </c>
      <c r="J49" s="54">
        <v>7.6610114576569099</v>
      </c>
    </row>
    <row r="50" spans="1:12">
      <c r="A50" s="54"/>
      <c r="B50" s="92"/>
      <c r="D50" s="62">
        <v>42.566287174571301</v>
      </c>
      <c r="E50" s="62">
        <v>6.2341355100893399</v>
      </c>
      <c r="F50" s="62">
        <v>2.6872549341470502</v>
      </c>
      <c r="G50" s="62">
        <f>F50*'flow correction'!$G$43</f>
        <v>1.8449380489618077</v>
      </c>
      <c r="H50" s="62">
        <v>242.52027845036301</v>
      </c>
      <c r="I50" s="62">
        <v>10.949913967515601</v>
      </c>
      <c r="J50" s="54">
        <v>7.9905479062770501</v>
      </c>
    </row>
    <row r="51" spans="1:12" s="95" customFormat="1">
      <c r="B51" s="97"/>
    </row>
    <row r="52" spans="1:12">
      <c r="A52" s="54"/>
      <c r="B52" s="92"/>
      <c r="J52" s="54"/>
    </row>
    <row r="53" spans="1:12" ht="15" thickBot="1">
      <c r="A53" s="148" t="s">
        <v>107</v>
      </c>
      <c r="B53" s="148"/>
      <c r="C53" s="148"/>
      <c r="I53" s="54"/>
    </row>
    <row r="54" spans="1:12">
      <c r="B54" s="84" t="s">
        <v>92</v>
      </c>
      <c r="C54" s="86" t="s">
        <v>93</v>
      </c>
      <c r="D54" s="85" t="s">
        <v>156</v>
      </c>
      <c r="E54" s="84" t="s">
        <v>97</v>
      </c>
      <c r="F54" s="85" t="s">
        <v>98</v>
      </c>
      <c r="G54" s="85" t="s">
        <v>99</v>
      </c>
      <c r="H54" s="85" t="s">
        <v>145</v>
      </c>
      <c r="I54" s="85" t="s">
        <v>100</v>
      </c>
      <c r="J54" s="86" t="s">
        <v>101</v>
      </c>
      <c r="K54" s="100"/>
    </row>
    <row r="55" spans="1:12">
      <c r="A55" s="62" t="s">
        <v>71</v>
      </c>
      <c r="B55" s="87">
        <v>41779</v>
      </c>
      <c r="C55" s="88" t="s">
        <v>94</v>
      </c>
      <c r="D55" s="54">
        <v>75</v>
      </c>
      <c r="E55" s="89">
        <v>14.765125705367501</v>
      </c>
      <c r="F55" s="54">
        <v>9.9611584671625408</v>
      </c>
      <c r="G55" s="54">
        <v>0.66783059815705503</v>
      </c>
      <c r="H55" s="54">
        <f>G55*'flow correction'!$G$4</f>
        <v>0.55429939647035564</v>
      </c>
      <c r="I55" s="54">
        <v>3.5001328677471899</v>
      </c>
      <c r="J55" s="88">
        <v>0.70554204380391805</v>
      </c>
    </row>
    <row r="56" spans="1:12">
      <c r="A56" s="62" t="s">
        <v>96</v>
      </c>
      <c r="B56" s="87">
        <v>41779</v>
      </c>
      <c r="C56" s="88" t="s">
        <v>94</v>
      </c>
      <c r="D56" s="54">
        <v>88</v>
      </c>
      <c r="E56" s="89">
        <v>25.3435549889208</v>
      </c>
      <c r="F56" s="54">
        <v>6.4877485140414999</v>
      </c>
      <c r="G56" s="54">
        <v>1.40298002015836</v>
      </c>
      <c r="H56" s="54">
        <f>G56*'flow correction'!$G$9</f>
        <v>1.1146964543723956</v>
      </c>
      <c r="I56" s="54">
        <v>21.235727217863602</v>
      </c>
      <c r="J56" s="88">
        <v>2.8081330266631301</v>
      </c>
    </row>
    <row r="57" spans="1:12">
      <c r="A57" s="54" t="s">
        <v>71</v>
      </c>
      <c r="B57" s="87">
        <v>41792</v>
      </c>
      <c r="C57" s="88" t="s">
        <v>94</v>
      </c>
      <c r="D57" s="54">
        <v>83</v>
      </c>
      <c r="E57" s="89">
        <v>30.535998319528701</v>
      </c>
      <c r="F57" s="54">
        <v>12.421463365708201</v>
      </c>
      <c r="G57" s="54">
        <v>0.88259238695799702</v>
      </c>
      <c r="H57" s="54">
        <f>G57*'flow correction'!$G$17</f>
        <v>0.70123778689813454</v>
      </c>
      <c r="I57" s="54">
        <v>15.9482482833061</v>
      </c>
      <c r="J57" s="88">
        <v>4.3082166315528596</v>
      </c>
    </row>
    <row r="58" spans="1:12" s="54" customFormat="1">
      <c r="A58" s="54" t="s">
        <v>96</v>
      </c>
      <c r="B58" s="87">
        <v>41793</v>
      </c>
      <c r="C58" s="88" t="s">
        <v>94</v>
      </c>
      <c r="D58" s="54">
        <v>65</v>
      </c>
      <c r="E58" s="89">
        <v>27.542097486726998</v>
      </c>
      <c r="F58" s="54">
        <v>6.3026305586160101</v>
      </c>
      <c r="G58" s="54">
        <v>0.84117245965294996</v>
      </c>
      <c r="H58" s="54">
        <f>G58*'flow correction'!$G$24</f>
        <v>0.79627043680668685</v>
      </c>
      <c r="I58" s="54">
        <v>0.90146863565632396</v>
      </c>
      <c r="J58" s="88">
        <v>1.52183021107102</v>
      </c>
    </row>
    <row r="59" spans="1:12" s="54" customFormat="1">
      <c r="A59" s="54" t="s">
        <v>69</v>
      </c>
      <c r="B59" s="87">
        <v>41801</v>
      </c>
      <c r="C59" s="88" t="s">
        <v>94</v>
      </c>
      <c r="D59" s="54">
        <v>53</v>
      </c>
      <c r="E59" s="89">
        <v>32.214269274564799</v>
      </c>
      <c r="F59" s="54">
        <v>8.4150056608975792</v>
      </c>
      <c r="G59" s="54">
        <v>3.0877765762239102</v>
      </c>
      <c r="H59" s="54">
        <f>G59*'flow correction'!$G$30</f>
        <v>2.1384300185620684</v>
      </c>
      <c r="I59" s="54">
        <v>68.170629482882802</v>
      </c>
      <c r="J59" s="88">
        <v>3.1957629574645101</v>
      </c>
      <c r="L59" s="62"/>
    </row>
    <row r="60" spans="1:12" s="54" customFormat="1" ht="15" thickBot="1">
      <c r="A60" s="54" t="s">
        <v>71</v>
      </c>
      <c r="B60" s="99">
        <v>41800</v>
      </c>
      <c r="C60" s="90" t="s">
        <v>94</v>
      </c>
      <c r="D60" s="102">
        <v>60</v>
      </c>
      <c r="E60" s="106">
        <v>23.663773639919501</v>
      </c>
      <c r="F60" s="107">
        <v>7.7647771846152196</v>
      </c>
      <c r="G60" s="107">
        <v>1.2409276228280699</v>
      </c>
      <c r="H60" s="107">
        <f>G60*'flow correction'!$G$38</f>
        <v>0.98594249484969931</v>
      </c>
      <c r="I60" s="107">
        <v>92.0510654958331</v>
      </c>
      <c r="J60" s="108">
        <v>2.8836074504446101</v>
      </c>
      <c r="K60" s="109"/>
      <c r="L60" s="109"/>
    </row>
    <row r="61" spans="1:12" s="54" customFormat="1">
      <c r="A61" s="54" t="s">
        <v>71</v>
      </c>
      <c r="B61" s="87">
        <v>41778</v>
      </c>
      <c r="C61" s="88" t="s">
        <v>95</v>
      </c>
      <c r="D61" s="54">
        <v>65</v>
      </c>
      <c r="E61" s="54">
        <v>19.547739468147999</v>
      </c>
      <c r="F61" s="54">
        <v>12.6404104898598</v>
      </c>
      <c r="G61" s="54">
        <v>0.72062537048457098</v>
      </c>
      <c r="H61" s="62">
        <f>G61*'flow correction'!$G$7</f>
        <v>0.61540729995841992</v>
      </c>
      <c r="I61" s="54">
        <v>8.0205335182691897</v>
      </c>
      <c r="J61" s="88">
        <v>0.11906118416437</v>
      </c>
      <c r="K61" s="62"/>
      <c r="L61" s="62"/>
    </row>
    <row r="62" spans="1:12" s="54" customFormat="1">
      <c r="A62" s="54" t="s">
        <v>96</v>
      </c>
      <c r="B62" s="87">
        <v>41778</v>
      </c>
      <c r="C62" s="88" t="s">
        <v>95</v>
      </c>
      <c r="D62" s="54">
        <v>84</v>
      </c>
      <c r="E62" s="54">
        <v>62.579116942898899</v>
      </c>
      <c r="F62" s="54">
        <v>7.28598194214735</v>
      </c>
      <c r="G62" s="54">
        <v>2.2881792822612099</v>
      </c>
      <c r="H62" s="62">
        <f>G62*'flow correction'!$G$15</f>
        <v>1.9449523899220287</v>
      </c>
      <c r="I62" s="54">
        <v>104.931929267572</v>
      </c>
      <c r="J62" s="88">
        <v>9.14475647214209</v>
      </c>
      <c r="K62" s="62"/>
      <c r="L62" s="62"/>
    </row>
    <row r="63" spans="1:12">
      <c r="A63" s="54" t="s">
        <v>71</v>
      </c>
      <c r="B63" s="87">
        <v>41793</v>
      </c>
      <c r="C63" s="88" t="s">
        <v>95</v>
      </c>
      <c r="D63" s="54">
        <v>78</v>
      </c>
      <c r="E63" s="54">
        <v>51.560411699093301</v>
      </c>
      <c r="F63" s="54">
        <v>12.0832336666427</v>
      </c>
      <c r="G63" s="54">
        <v>1.5666458386297699</v>
      </c>
      <c r="H63" s="62">
        <f>G63*'flow correction'!$G$22</f>
        <v>1.6494240174006134</v>
      </c>
      <c r="I63" s="54">
        <v>37.795877595498801</v>
      </c>
      <c r="J63" s="88">
        <v>8.77115781485697</v>
      </c>
    </row>
    <row r="64" spans="1:12">
      <c r="A64" s="54" t="s">
        <v>96</v>
      </c>
      <c r="B64" s="87">
        <v>41792</v>
      </c>
      <c r="C64" s="88" t="s">
        <v>95</v>
      </c>
      <c r="D64" s="54">
        <v>73</v>
      </c>
      <c r="E64" s="54">
        <v>50.0574237774198</v>
      </c>
      <c r="F64" s="54">
        <v>9.0681263899907005</v>
      </c>
      <c r="G64" s="54">
        <v>1.6666118388715101</v>
      </c>
      <c r="H64" s="62">
        <f>G64*'flow correction'!$G$28</f>
        <v>1.3241573514321587</v>
      </c>
      <c r="I64" s="54">
        <v>55.359420735012499</v>
      </c>
      <c r="J64" s="88">
        <v>11.9571674244555</v>
      </c>
    </row>
    <row r="65" spans="1:11">
      <c r="A65" s="54" t="s">
        <v>69</v>
      </c>
      <c r="B65" s="87">
        <v>41802</v>
      </c>
      <c r="C65" s="88" t="s">
        <v>95</v>
      </c>
      <c r="D65" s="54">
        <v>63</v>
      </c>
      <c r="E65" s="54">
        <v>56.814727052971698</v>
      </c>
      <c r="F65" s="54">
        <v>11.0621554453723</v>
      </c>
      <c r="G65" s="54">
        <v>3.70368268017334</v>
      </c>
      <c r="H65" s="62">
        <v>3.70368268017334</v>
      </c>
      <c r="I65" s="62">
        <v>294.98290267566699</v>
      </c>
      <c r="J65" s="62">
        <v>17.052284049829101</v>
      </c>
      <c r="K65" s="88"/>
    </row>
    <row r="66" spans="1:11">
      <c r="A66" s="54" t="s">
        <v>71</v>
      </c>
      <c r="B66" s="87">
        <v>41801</v>
      </c>
      <c r="C66" s="88" t="s">
        <v>95</v>
      </c>
      <c r="D66" s="54">
        <v>65</v>
      </c>
      <c r="E66" s="54">
        <v>52.9315193589091</v>
      </c>
      <c r="F66" s="54">
        <v>10.6200592532869</v>
      </c>
      <c r="G66" s="54">
        <v>3.64532461093963</v>
      </c>
      <c r="H66" s="62">
        <f>G66*'flow correction'!$G$43</f>
        <v>2.5027019171421117</v>
      </c>
      <c r="I66" s="54">
        <v>303.02025260889502</v>
      </c>
      <c r="J66" s="88">
        <v>15.112988821789401</v>
      </c>
    </row>
    <row r="67" spans="1:11" ht="15" thickBot="1">
      <c r="B67" s="146" t="s">
        <v>102</v>
      </c>
      <c r="C67" s="147"/>
      <c r="D67" s="103"/>
      <c r="E67" s="91">
        <f t="shared" ref="E67:J67" si="0">_xlfn.T.TEST(E55:E60,E61:E66,2,1)</f>
        <v>3.2338572016007636E-3</v>
      </c>
      <c r="F67" s="91">
        <f t="shared" si="0"/>
        <v>1.8015815935407936E-2</v>
      </c>
      <c r="G67" s="91">
        <f t="shared" si="0"/>
        <v>3.6724538380161244E-2</v>
      </c>
      <c r="H67" s="91">
        <f t="shared" si="0"/>
        <v>1.2034560466233409E-2</v>
      </c>
      <c r="I67" s="91">
        <f t="shared" si="0"/>
        <v>5.0356627558967769E-2</v>
      </c>
      <c r="J67" s="91">
        <f t="shared" si="0"/>
        <v>1.6910733263061917E-2</v>
      </c>
    </row>
    <row r="69" spans="1:11" ht="15" thickBot="1"/>
    <row r="70" spans="1:11">
      <c r="C70" s="100" t="s">
        <v>104</v>
      </c>
      <c r="D70" s="110">
        <v>1</v>
      </c>
      <c r="E70" s="111">
        <v>0.79962101434562805</v>
      </c>
      <c r="F70" s="111">
        <v>1.22929588866702E-2</v>
      </c>
      <c r="G70" s="112">
        <v>4.7875774446248303E-3</v>
      </c>
      <c r="H70" s="111">
        <v>2.5523113111087799E-2</v>
      </c>
      <c r="I70" s="113">
        <v>1.1159032326395E-4</v>
      </c>
    </row>
    <row r="71" spans="1:11">
      <c r="C71" s="100" t="s">
        <v>27</v>
      </c>
      <c r="D71" s="114">
        <v>0.79962101434562805</v>
      </c>
      <c r="E71" s="115">
        <v>1</v>
      </c>
      <c r="F71" s="115">
        <v>0.94248002008433596</v>
      </c>
      <c r="G71" s="100">
        <v>0.78357724682601104</v>
      </c>
      <c r="H71" s="115">
        <v>0.63798209108371995</v>
      </c>
      <c r="I71" s="116">
        <v>0.49876674635559398</v>
      </c>
    </row>
    <row r="72" spans="1:11">
      <c r="C72" s="100" t="s">
        <v>103</v>
      </c>
      <c r="D72" s="114">
        <v>1.22929588866702E-2</v>
      </c>
      <c r="E72" s="115">
        <v>0.94248002008433596</v>
      </c>
      <c r="F72" s="115">
        <v>1</v>
      </c>
      <c r="G72" s="117">
        <v>2.6588803241884998E-6</v>
      </c>
      <c r="H72" s="115">
        <v>1.5786210125042001E-4</v>
      </c>
      <c r="I72" s="116">
        <v>2.7043308194595198E-3</v>
      </c>
    </row>
    <row r="73" spans="1:11">
      <c r="C73" s="100" t="s">
        <v>145</v>
      </c>
      <c r="D73" s="114">
        <v>4.7875774446248303E-3</v>
      </c>
      <c r="E73" s="115">
        <v>0.78357724682601104</v>
      </c>
      <c r="F73" s="118">
        <v>2.6588803241884998E-6</v>
      </c>
      <c r="G73" s="100">
        <v>1</v>
      </c>
      <c r="H73" s="115">
        <v>2.1777105199270101E-4</v>
      </c>
      <c r="I73" s="116">
        <v>7.4799860136818695E-4</v>
      </c>
    </row>
    <row r="74" spans="1:11">
      <c r="C74" s="100" t="s">
        <v>106</v>
      </c>
      <c r="D74" s="114">
        <v>2.5523113111087799E-2</v>
      </c>
      <c r="E74" s="115">
        <v>0.63798209108371995</v>
      </c>
      <c r="F74" s="115">
        <v>1.5786210125042001E-4</v>
      </c>
      <c r="G74" s="100">
        <v>2.1777105199270101E-4</v>
      </c>
      <c r="H74" s="115">
        <v>1</v>
      </c>
      <c r="I74" s="116">
        <v>6.38309823447843E-4</v>
      </c>
    </row>
    <row r="75" spans="1:11" ht="15" thickBot="1">
      <c r="C75" s="100" t="s">
        <v>105</v>
      </c>
      <c r="D75" s="119">
        <v>1.1159032326395E-4</v>
      </c>
      <c r="E75" s="120">
        <v>0.49876674635559398</v>
      </c>
      <c r="F75" s="120">
        <v>2.7043308194595198E-3</v>
      </c>
      <c r="G75" s="91">
        <v>7.4799860136818695E-4</v>
      </c>
      <c r="H75" s="120">
        <v>6.38309823447843E-4</v>
      </c>
      <c r="I75" s="121">
        <v>1</v>
      </c>
    </row>
    <row r="76" spans="1:11" s="100" customFormat="1">
      <c r="A76" s="62"/>
      <c r="B76" s="62"/>
      <c r="C76" s="62"/>
      <c r="D76" s="100" t="s">
        <v>104</v>
      </c>
      <c r="E76" s="100" t="s">
        <v>27</v>
      </c>
      <c r="F76" s="100" t="s">
        <v>103</v>
      </c>
      <c r="G76" s="100" t="s">
        <v>145</v>
      </c>
      <c r="H76" s="100" t="s">
        <v>106</v>
      </c>
      <c r="I76" s="100" t="s">
        <v>105</v>
      </c>
    </row>
    <row r="77" spans="1:11" s="54" customFormat="1"/>
    <row r="78" spans="1:11" s="54" customFormat="1">
      <c r="F78" s="100"/>
      <c r="G78" s="100"/>
      <c r="H78" s="100"/>
      <c r="I78" s="100"/>
      <c r="J78" s="100"/>
      <c r="K78" s="100"/>
    </row>
    <row r="79" spans="1:11" s="54" customFormat="1"/>
    <row r="80" spans="1:11" s="54" customFormat="1"/>
    <row r="81" spans="3:8" s="54" customFormat="1"/>
    <row r="82" spans="3:8" s="54" customFormat="1"/>
    <row r="83" spans="3:8" s="54" customFormat="1">
      <c r="C83" s="54" t="s">
        <v>153</v>
      </c>
      <c r="H83" s="54" t="s">
        <v>153</v>
      </c>
    </row>
    <row r="84" spans="3:8" s="54" customFormat="1">
      <c r="C84" s="54" t="s">
        <v>147</v>
      </c>
      <c r="H84" s="54" t="s">
        <v>147</v>
      </c>
    </row>
    <row r="85" spans="3:8" s="54" customFormat="1">
      <c r="C85" s="54" t="s">
        <v>148</v>
      </c>
      <c r="H85" s="54" t="s">
        <v>154</v>
      </c>
    </row>
    <row r="86" spans="3:8" s="54" customFormat="1"/>
    <row r="87" spans="3:8" s="54" customFormat="1">
      <c r="C87" s="54" t="s">
        <v>149</v>
      </c>
      <c r="H87" s="54" t="s">
        <v>149</v>
      </c>
    </row>
    <row r="88" spans="3:8" s="54" customFormat="1">
      <c r="C88" s="54" t="s">
        <v>150</v>
      </c>
      <c r="H88" s="54" t="s">
        <v>155</v>
      </c>
    </row>
    <row r="89" spans="3:8" s="54" customFormat="1"/>
    <row r="90" spans="3:8" s="54" customFormat="1">
      <c r="C90" s="54" t="s">
        <v>151</v>
      </c>
      <c r="H90" s="54" t="s">
        <v>151</v>
      </c>
    </row>
    <row r="91" spans="3:8" s="54" customFormat="1">
      <c r="C91" s="54" t="s">
        <v>152</v>
      </c>
      <c r="H91" s="54" t="s">
        <v>152</v>
      </c>
    </row>
    <row r="92" spans="3:8" s="54" customFormat="1"/>
    <row r="93" spans="3:8" s="54" customFormat="1"/>
    <row r="94" spans="3:8" s="54" customFormat="1"/>
    <row r="95" spans="3:8" s="54" customFormat="1"/>
    <row r="96" spans="3:8" s="54" customFormat="1"/>
    <row r="97" spans="4:9" s="54" customFormat="1"/>
    <row r="98" spans="4:9" s="54" customFormat="1">
      <c r="D98" s="62"/>
      <c r="E98" s="62"/>
      <c r="F98" s="122"/>
      <c r="G98" s="122"/>
      <c r="H98" s="122"/>
      <c r="I98" s="62"/>
    </row>
    <row r="100" spans="4:9">
      <c r="D100" s="122"/>
      <c r="G100" s="122"/>
      <c r="H100" s="122"/>
      <c r="I100" s="122"/>
    </row>
    <row r="101" spans="4:9">
      <c r="D101" s="122"/>
      <c r="F101" s="122"/>
      <c r="H101" s="122"/>
      <c r="I101" s="122"/>
    </row>
    <row r="102" spans="4:9">
      <c r="D102" s="122"/>
      <c r="F102" s="122"/>
      <c r="G102" s="122"/>
      <c r="I102" s="122"/>
    </row>
    <row r="103" spans="4:9">
      <c r="F103" s="122"/>
      <c r="G103" s="122"/>
      <c r="H103" s="122"/>
    </row>
  </sheetData>
  <mergeCells count="4">
    <mergeCell ref="B67:C67"/>
    <mergeCell ref="A53:C53"/>
    <mergeCell ref="A1:C1"/>
    <mergeCell ref="A33:C3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pane ySplit="3" topLeftCell="A4" activePane="bottomLeft" state="frozen"/>
      <selection pane="bottomLeft" activeCell="A2" sqref="A2"/>
    </sheetView>
  </sheetViews>
  <sheetFormatPr baseColWidth="10" defaultColWidth="8.83203125" defaultRowHeight="14" x14ac:dyDescent="0"/>
  <cols>
    <col min="1" max="1" width="10.5" customWidth="1"/>
    <col min="2" max="2" width="10.1640625" customWidth="1"/>
    <col min="4" max="4" width="24" bestFit="1" customWidth="1"/>
    <col min="5" max="5" width="15.5" bestFit="1" customWidth="1"/>
    <col min="6" max="6" width="17.33203125" customWidth="1"/>
    <col min="7" max="7" width="13.6640625" bestFit="1" customWidth="1"/>
  </cols>
  <sheetData>
    <row r="1" spans="1:7">
      <c r="A1" t="s">
        <v>157</v>
      </c>
    </row>
    <row r="3" spans="1:7" s="48" customFormat="1">
      <c r="A3" s="101" t="s">
        <v>0</v>
      </c>
      <c r="B3" s="101" t="s">
        <v>92</v>
      </c>
      <c r="C3" s="101" t="s">
        <v>93</v>
      </c>
      <c r="D3" s="75" t="s">
        <v>113</v>
      </c>
      <c r="E3" s="48" t="s">
        <v>115</v>
      </c>
      <c r="F3" s="48" t="s">
        <v>114</v>
      </c>
      <c r="G3" s="48" t="s">
        <v>116</v>
      </c>
    </row>
    <row r="4" spans="1:7">
      <c r="A4" t="s">
        <v>71</v>
      </c>
      <c r="B4" s="83">
        <v>41779</v>
      </c>
      <c r="C4" t="s">
        <v>94</v>
      </c>
      <c r="D4" t="s">
        <v>119</v>
      </c>
      <c r="E4">
        <f>208/1.66</f>
        <v>125.30120481927712</v>
      </c>
      <c r="F4">
        <v>104</v>
      </c>
      <c r="G4">
        <f>F4/E4</f>
        <v>0.83</v>
      </c>
    </row>
    <row r="5" spans="1:7">
      <c r="B5" s="83"/>
    </row>
    <row r="6" spans="1:7">
      <c r="A6" s="21" t="s">
        <v>71</v>
      </c>
      <c r="B6" s="83">
        <v>41778</v>
      </c>
      <c r="C6" s="21" t="s">
        <v>95</v>
      </c>
      <c r="D6" t="s">
        <v>117</v>
      </c>
      <c r="E6">
        <f>213/1.7</f>
        <v>125.29411764705883</v>
      </c>
      <c r="F6">
        <v>107</v>
      </c>
      <c r="G6">
        <f>F6/E6</f>
        <v>0.85399061032863843</v>
      </c>
    </row>
    <row r="7" spans="1:7">
      <c r="A7" s="21"/>
      <c r="B7" s="83"/>
      <c r="C7" s="21"/>
      <c r="D7" t="s">
        <v>118</v>
      </c>
      <c r="E7">
        <f>213/1.7</f>
        <v>125.29411764705883</v>
      </c>
      <c r="F7">
        <v>107</v>
      </c>
      <c r="G7">
        <f>F7/E7</f>
        <v>0.85399061032863843</v>
      </c>
    </row>
    <row r="8" spans="1:7">
      <c r="A8" s="21"/>
      <c r="B8" s="83"/>
      <c r="C8" s="21"/>
    </row>
    <row r="9" spans="1:7" s="93" customFormat="1">
      <c r="A9" s="93" t="s">
        <v>96</v>
      </c>
      <c r="B9" s="94">
        <v>41779</v>
      </c>
      <c r="C9" s="93" t="s">
        <v>94</v>
      </c>
      <c r="D9" s="93" t="s">
        <v>123</v>
      </c>
      <c r="E9" s="93">
        <f>219/1.2</f>
        <v>182.5</v>
      </c>
      <c r="F9" s="93">
        <v>145</v>
      </c>
      <c r="G9" s="93">
        <f>F9/E9</f>
        <v>0.79452054794520544</v>
      </c>
    </row>
    <row r="10" spans="1:7">
      <c r="A10" s="21"/>
      <c r="B10" s="83"/>
      <c r="C10" s="21"/>
      <c r="D10" t="s">
        <v>124</v>
      </c>
      <c r="E10">
        <f>213/1.7</f>
        <v>125.29411764705883</v>
      </c>
    </row>
    <row r="12" spans="1:7">
      <c r="A12" s="21" t="s">
        <v>96</v>
      </c>
      <c r="B12" s="83">
        <v>41778</v>
      </c>
      <c r="C12" s="21" t="s">
        <v>95</v>
      </c>
      <c r="D12" t="s">
        <v>120</v>
      </c>
      <c r="E12">
        <f>213/1.7</f>
        <v>125.29411764705883</v>
      </c>
    </row>
    <row r="13" spans="1:7">
      <c r="A13" s="21"/>
      <c r="B13" s="83"/>
      <c r="C13" s="21"/>
      <c r="D13" t="s">
        <v>121</v>
      </c>
      <c r="E13">
        <f>213/1.7</f>
        <v>125.29411764705883</v>
      </c>
    </row>
    <row r="14" spans="1:7">
      <c r="A14" s="21"/>
      <c r="B14" s="83"/>
      <c r="C14" s="21"/>
      <c r="D14" t="s">
        <v>144</v>
      </c>
      <c r="E14">
        <f>310/1.7</f>
        <v>182.35294117647058</v>
      </c>
      <c r="F14">
        <v>155</v>
      </c>
      <c r="G14">
        <f>F14/E14</f>
        <v>0.85000000000000009</v>
      </c>
    </row>
    <row r="15" spans="1:7">
      <c r="A15" s="21"/>
      <c r="B15" s="83"/>
      <c r="C15" s="21"/>
      <c r="D15" t="s">
        <v>122</v>
      </c>
      <c r="E15">
        <f>310/1.7</f>
        <v>182.35294117647058</v>
      </c>
      <c r="F15">
        <v>155</v>
      </c>
      <c r="G15">
        <f>F15/E15</f>
        <v>0.85000000000000009</v>
      </c>
    </row>
    <row r="16" spans="1:7">
      <c r="A16" s="21"/>
      <c r="B16" s="83"/>
      <c r="C16" s="21"/>
    </row>
    <row r="17" spans="1:10" s="93" customFormat="1">
      <c r="A17" s="95" t="s">
        <v>71</v>
      </c>
      <c r="B17" s="94">
        <v>41792</v>
      </c>
      <c r="C17" s="93" t="s">
        <v>94</v>
      </c>
      <c r="D17" s="93" t="s">
        <v>125</v>
      </c>
      <c r="E17" s="93">
        <f>219/1.2</f>
        <v>182.5</v>
      </c>
      <c r="F17" s="93">
        <v>145</v>
      </c>
      <c r="G17" s="93">
        <f>F17/E17</f>
        <v>0.79452054794520544</v>
      </c>
    </row>
    <row r="18" spans="1:10">
      <c r="A18" s="54"/>
      <c r="B18" s="83"/>
      <c r="C18" s="21"/>
    </row>
    <row r="19" spans="1:10">
      <c r="A19" s="21" t="s">
        <v>71</v>
      </c>
      <c r="B19" s="83">
        <v>41793</v>
      </c>
      <c r="C19" s="21" t="s">
        <v>95</v>
      </c>
      <c r="D19" t="s">
        <v>128</v>
      </c>
      <c r="E19">
        <f>67/1.36</f>
        <v>49.264705882352935</v>
      </c>
    </row>
    <row r="20" spans="1:10">
      <c r="A20" s="21"/>
      <c r="B20" s="83"/>
      <c r="C20" s="21"/>
      <c r="D20" t="s">
        <v>129</v>
      </c>
      <c r="E20">
        <f>75/1.53</f>
        <v>49.019607843137251</v>
      </c>
    </row>
    <row r="21" spans="1:10">
      <c r="A21" s="21"/>
      <c r="B21" s="83"/>
      <c r="C21" s="21"/>
      <c r="D21" t="s">
        <v>130</v>
      </c>
      <c r="E21">
        <f>72/1.41</f>
        <v>51.063829787234049</v>
      </c>
    </row>
    <row r="22" spans="1:10">
      <c r="A22" s="21"/>
      <c r="B22" s="83"/>
      <c r="C22" s="21"/>
      <c r="D22" t="s">
        <v>131</v>
      </c>
      <c r="E22">
        <f>74/1.59</f>
        <v>46.540880503144649</v>
      </c>
      <c r="F22">
        <v>49</v>
      </c>
      <c r="G22">
        <f>F22/E22</f>
        <v>1.052837837837838</v>
      </c>
    </row>
    <row r="23" spans="1:10">
      <c r="A23" s="21"/>
      <c r="B23" s="83"/>
      <c r="C23" s="21"/>
    </row>
    <row r="24" spans="1:10" s="93" customFormat="1">
      <c r="A24" s="95" t="s">
        <v>96</v>
      </c>
      <c r="B24" s="94">
        <v>41793</v>
      </c>
      <c r="C24" s="93" t="s">
        <v>94</v>
      </c>
      <c r="D24" s="93" t="s">
        <v>132</v>
      </c>
      <c r="E24" s="93">
        <f>71/1.43</f>
        <v>49.650349650349654</v>
      </c>
      <c r="F24" s="93">
        <v>47</v>
      </c>
      <c r="G24" s="93">
        <f>F24/E24</f>
        <v>0.94661971830985914</v>
      </c>
    </row>
    <row r="25" spans="1:10">
      <c r="A25" s="54"/>
      <c r="B25" s="83"/>
      <c r="C25" s="21"/>
      <c r="D25" t="s">
        <v>133</v>
      </c>
      <c r="E25">
        <f>73/1.44</f>
        <v>50.694444444444443</v>
      </c>
    </row>
    <row r="26" spans="1:10">
      <c r="A26" s="54"/>
      <c r="B26" s="83"/>
      <c r="C26" s="21"/>
    </row>
    <row r="27" spans="1:10">
      <c r="A27" s="54" t="s">
        <v>96</v>
      </c>
      <c r="B27" s="83">
        <v>41792</v>
      </c>
      <c r="C27" s="21" t="s">
        <v>95</v>
      </c>
      <c r="D27" t="s">
        <v>126</v>
      </c>
      <c r="E27">
        <f>219/1.2</f>
        <v>182.5</v>
      </c>
      <c r="F27">
        <v>145</v>
      </c>
      <c r="G27">
        <f>F27/E27</f>
        <v>0.79452054794520544</v>
      </c>
    </row>
    <row r="28" spans="1:10">
      <c r="A28" s="54"/>
      <c r="B28" s="55"/>
      <c r="C28" s="54"/>
      <c r="D28" t="s">
        <v>127</v>
      </c>
      <c r="E28">
        <f>219/1.2</f>
        <v>182.5</v>
      </c>
      <c r="F28">
        <v>145</v>
      </c>
      <c r="G28">
        <f>F28/E28</f>
        <v>0.79452054794520544</v>
      </c>
    </row>
    <row r="29" spans="1:10">
      <c r="A29" s="54"/>
      <c r="B29" s="92"/>
      <c r="C29" s="62"/>
    </row>
    <row r="30" spans="1:10" s="93" customFormat="1">
      <c r="A30" s="95" t="s">
        <v>69</v>
      </c>
      <c r="B30" s="94">
        <v>41801</v>
      </c>
      <c r="C30" s="93" t="s">
        <v>94</v>
      </c>
      <c r="D30" s="95" t="s">
        <v>134</v>
      </c>
      <c r="E30" s="95">
        <f>128/0.698</f>
        <v>183.3810888252149</v>
      </c>
      <c r="F30" s="95">
        <v>127</v>
      </c>
      <c r="G30" s="93">
        <f>F30/E30</f>
        <v>0.69254687500000001</v>
      </c>
      <c r="H30" s="95"/>
      <c r="I30" s="95"/>
      <c r="J30" s="95"/>
    </row>
    <row r="31" spans="1:10">
      <c r="A31" s="54"/>
      <c r="B31" s="83"/>
      <c r="C31" s="21"/>
      <c r="D31" s="54" t="s">
        <v>135</v>
      </c>
      <c r="E31" s="54">
        <f>121/0.659</f>
        <v>183.61153262518968</v>
      </c>
      <c r="F31" s="54"/>
      <c r="H31" s="54"/>
      <c r="I31" s="54"/>
      <c r="J31" s="54"/>
    </row>
    <row r="32" spans="1:10">
      <c r="A32" s="54"/>
      <c r="B32" s="83"/>
      <c r="C32" s="21"/>
      <c r="D32" s="54"/>
      <c r="E32" s="54"/>
      <c r="F32" s="54"/>
      <c r="H32" s="54"/>
      <c r="I32" s="54"/>
      <c r="J32" s="54"/>
    </row>
    <row r="33" spans="1:10">
      <c r="A33" s="21" t="s">
        <v>69</v>
      </c>
      <c r="B33" s="83">
        <v>41802</v>
      </c>
      <c r="C33" s="21" t="s">
        <v>95</v>
      </c>
      <c r="D33" s="54" t="s">
        <v>137</v>
      </c>
      <c r="E33" s="54">
        <f>128/0.698</f>
        <v>183.3810888252149</v>
      </c>
      <c r="F33" s="54">
        <v>184</v>
      </c>
      <c r="H33" s="54"/>
      <c r="I33" s="54"/>
      <c r="J33" s="54"/>
    </row>
    <row r="34" spans="1:10">
      <c r="A34" s="21"/>
      <c r="B34" s="83"/>
      <c r="C34" s="21"/>
      <c r="D34" s="54" t="s">
        <v>138</v>
      </c>
      <c r="E34" s="54">
        <f>128/0.698</f>
        <v>183.3810888252149</v>
      </c>
      <c r="F34" s="54"/>
      <c r="H34" s="54"/>
      <c r="I34" s="54"/>
      <c r="J34" s="54"/>
    </row>
    <row r="35" spans="1:10">
      <c r="A35" s="21"/>
      <c r="B35" s="83"/>
      <c r="C35" s="21"/>
      <c r="D35" s="54" t="s">
        <v>139</v>
      </c>
      <c r="E35" s="54">
        <f>128/0.698</f>
        <v>183.3810888252149</v>
      </c>
      <c r="F35" s="54"/>
      <c r="H35" s="54"/>
      <c r="I35" s="54"/>
      <c r="J35" s="54"/>
    </row>
    <row r="36" spans="1:10">
      <c r="A36" s="21"/>
      <c r="B36" s="83"/>
      <c r="C36" s="21"/>
      <c r="D36" s="54" t="s">
        <v>140</v>
      </c>
      <c r="E36" s="54">
        <f>127/0.692</f>
        <v>183.52601156069366</v>
      </c>
      <c r="F36" s="54"/>
      <c r="H36" s="54"/>
      <c r="I36" s="54"/>
      <c r="J36" s="54"/>
    </row>
    <row r="37" spans="1:10">
      <c r="A37" s="21"/>
      <c r="B37" s="83"/>
      <c r="C37" s="21"/>
      <c r="D37" s="54"/>
      <c r="E37" s="54"/>
      <c r="F37" s="54"/>
      <c r="H37" s="54"/>
      <c r="I37" s="54"/>
      <c r="J37" s="54"/>
    </row>
    <row r="38" spans="1:10" s="93" customFormat="1">
      <c r="A38" s="95" t="s">
        <v>71</v>
      </c>
      <c r="B38" s="94">
        <v>41800</v>
      </c>
      <c r="C38" s="93" t="s">
        <v>94</v>
      </c>
      <c r="D38" s="93" t="s">
        <v>136</v>
      </c>
      <c r="E38" s="93">
        <f>219/1.2</f>
        <v>182.5</v>
      </c>
      <c r="F38" s="93">
        <v>145</v>
      </c>
      <c r="G38" s="93">
        <f>F38/E38</f>
        <v>0.79452054794520544</v>
      </c>
    </row>
    <row r="39" spans="1:10">
      <c r="A39" s="54"/>
      <c r="B39" s="83"/>
      <c r="C39" s="21"/>
      <c r="D39" s="21"/>
      <c r="E39" s="21"/>
      <c r="F39" s="21"/>
      <c r="H39" s="21"/>
      <c r="I39" s="21"/>
      <c r="J39" s="21"/>
    </row>
    <row r="40" spans="1:10">
      <c r="A40" s="54" t="s">
        <v>71</v>
      </c>
      <c r="B40" s="83">
        <v>41801</v>
      </c>
      <c r="C40" s="21" t="s">
        <v>95</v>
      </c>
      <c r="D40" s="54" t="s">
        <v>141</v>
      </c>
      <c r="E40" s="54">
        <f>127/0.692</f>
        <v>183.52601156069366</v>
      </c>
      <c r="F40" s="54"/>
      <c r="H40" s="54"/>
      <c r="I40" s="54"/>
      <c r="J40" s="54"/>
    </row>
    <row r="41" spans="1:10">
      <c r="A41" s="54"/>
      <c r="B41" s="55"/>
      <c r="C41" s="54"/>
      <c r="D41" s="54" t="s">
        <v>142</v>
      </c>
      <c r="E41" s="54">
        <f>128/0.698</f>
        <v>183.3810888252149</v>
      </c>
      <c r="F41" s="54"/>
      <c r="H41" s="54"/>
      <c r="I41" s="54"/>
      <c r="J41" s="54"/>
    </row>
    <row r="42" spans="1:10">
      <c r="A42" s="54"/>
      <c r="B42" s="92"/>
      <c r="C42" s="62"/>
      <c r="D42" s="54" t="s">
        <v>143</v>
      </c>
      <c r="E42" s="54">
        <f>128/0.698</f>
        <v>183.3810888252149</v>
      </c>
      <c r="F42" s="54"/>
      <c r="H42" s="54"/>
      <c r="I42" s="54"/>
      <c r="J42" s="54"/>
    </row>
    <row r="43" spans="1:10">
      <c r="A43" s="54"/>
      <c r="B43" s="92"/>
      <c r="C43" s="62"/>
      <c r="D43" s="54" t="s">
        <v>131</v>
      </c>
      <c r="E43" s="62">
        <f>127/0.692</f>
        <v>183.52601156069366</v>
      </c>
      <c r="F43" s="62">
        <v>126</v>
      </c>
      <c r="G43">
        <f>F43/E43</f>
        <v>0.68655118110236213</v>
      </c>
      <c r="H43" s="62"/>
      <c r="I43" s="62"/>
      <c r="J43" s="54"/>
    </row>
    <row r="44" spans="1:10">
      <c r="A44" s="54"/>
      <c r="B44" s="92"/>
      <c r="C44" s="62"/>
      <c r="D44" s="62"/>
      <c r="E44" s="62"/>
      <c r="F44" s="62"/>
      <c r="G44" s="62"/>
      <c r="H44" s="62"/>
      <c r="I44" s="62"/>
      <c r="J44" s="5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zoomScale="70" zoomScaleNormal="70" zoomScalePageLayoutView="70" workbookViewId="0">
      <selection activeCell="D39" sqref="D39"/>
    </sheetView>
  </sheetViews>
  <sheetFormatPr baseColWidth="10" defaultColWidth="11.5" defaultRowHeight="14" x14ac:dyDescent="0"/>
  <cols>
    <col min="7" max="7" width="19.1640625" bestFit="1" customWidth="1"/>
    <col min="8" max="8" width="18" customWidth="1"/>
    <col min="10" max="10" width="27" bestFit="1" customWidth="1"/>
    <col min="17" max="17" width="18.1640625" bestFit="1" customWidth="1"/>
  </cols>
  <sheetData>
    <row r="1" spans="1:34">
      <c r="K1" t="s">
        <v>160</v>
      </c>
      <c r="AG1" t="s">
        <v>49</v>
      </c>
      <c r="AH1" t="s">
        <v>59</v>
      </c>
    </row>
    <row r="2" spans="1:34" s="53" customFormat="1">
      <c r="A2" s="51" t="s">
        <v>9</v>
      </c>
      <c r="B2" s="51" t="s">
        <v>0</v>
      </c>
      <c r="C2" s="52" t="s">
        <v>8</v>
      </c>
      <c r="D2" s="52"/>
      <c r="E2" s="52" t="s">
        <v>7</v>
      </c>
      <c r="F2" s="59" t="s">
        <v>27</v>
      </c>
      <c r="G2" s="51" t="s">
        <v>17</v>
      </c>
      <c r="H2" s="51" t="s">
        <v>37</v>
      </c>
      <c r="I2" s="51" t="s">
        <v>62</v>
      </c>
      <c r="J2" s="51">
        <v>0</v>
      </c>
      <c r="K2" s="51" t="s">
        <v>23</v>
      </c>
      <c r="L2" s="51" t="s">
        <v>22</v>
      </c>
      <c r="M2" s="51" t="s">
        <v>20</v>
      </c>
      <c r="N2" s="51" t="s">
        <v>21</v>
      </c>
      <c r="O2" s="51" t="s">
        <v>1</v>
      </c>
      <c r="P2" s="51" t="s">
        <v>2</v>
      </c>
      <c r="Q2" s="51" t="s">
        <v>3</v>
      </c>
      <c r="R2" s="51" t="s">
        <v>4</v>
      </c>
      <c r="S2" s="51" t="s">
        <v>5</v>
      </c>
      <c r="T2" s="51" t="s">
        <v>6</v>
      </c>
      <c r="U2" s="51" t="s">
        <v>13</v>
      </c>
      <c r="V2" s="51" t="s">
        <v>42</v>
      </c>
      <c r="W2" s="51" t="s">
        <v>40</v>
      </c>
      <c r="X2" s="53" t="s">
        <v>76</v>
      </c>
      <c r="Y2" s="51" t="s">
        <v>28</v>
      </c>
      <c r="Z2" s="51" t="s">
        <v>86</v>
      </c>
      <c r="AA2" s="53" t="s">
        <v>41</v>
      </c>
    </row>
    <row r="3" spans="1:34" s="140" customFormat="1">
      <c r="A3" s="137"/>
      <c r="B3" s="137"/>
      <c r="C3" s="138"/>
      <c r="D3" s="138"/>
      <c r="E3" s="138"/>
      <c r="F3" s="139"/>
      <c r="G3" s="137"/>
      <c r="H3" s="137"/>
      <c r="I3" s="137"/>
      <c r="J3" s="143">
        <v>0</v>
      </c>
      <c r="K3" s="143">
        <v>0.5</v>
      </c>
      <c r="L3" s="143">
        <v>1</v>
      </c>
      <c r="M3" s="143">
        <v>2</v>
      </c>
      <c r="N3" s="143">
        <v>5</v>
      </c>
      <c r="O3" s="143">
        <v>10</v>
      </c>
      <c r="P3" s="143">
        <v>20</v>
      </c>
      <c r="Q3" s="143">
        <v>30</v>
      </c>
      <c r="R3" s="143">
        <v>40</v>
      </c>
      <c r="S3" s="143">
        <v>50</v>
      </c>
      <c r="T3" s="143">
        <v>60</v>
      </c>
      <c r="U3" s="143">
        <v>75</v>
      </c>
      <c r="V3" s="95"/>
      <c r="W3" s="137"/>
      <c r="X3" s="81"/>
      <c r="Y3" s="137"/>
      <c r="Z3" s="137"/>
    </row>
    <row r="4" spans="1:34" s="12" customFormat="1">
      <c r="A4" s="55">
        <v>41573</v>
      </c>
      <c r="B4" s="54" t="s">
        <v>69</v>
      </c>
      <c r="C4" s="54" t="s">
        <v>72</v>
      </c>
      <c r="D4" s="31">
        <v>6</v>
      </c>
      <c r="E4" s="18"/>
      <c r="F4" s="13">
        <v>4.7397173452682404</v>
      </c>
      <c r="G4" s="13">
        <v>23.631621845152299</v>
      </c>
      <c r="H4" s="13"/>
      <c r="I4" s="13">
        <v>50</v>
      </c>
      <c r="J4" s="11">
        <v>0</v>
      </c>
      <c r="K4" s="13">
        <v>1211.99813638197</v>
      </c>
      <c r="L4" s="13">
        <v>1467.2287454908101</v>
      </c>
      <c r="M4" s="13">
        <v>1743.90938021077</v>
      </c>
      <c r="N4" s="13">
        <v>1617.4419717296801</v>
      </c>
      <c r="O4" s="13">
        <v>1312.29624987739</v>
      </c>
      <c r="P4" s="13">
        <v>824.52034177228995</v>
      </c>
      <c r="Q4" s="11">
        <v>523.23188927034005</v>
      </c>
      <c r="R4" s="11">
        <v>311.79237839196497</v>
      </c>
      <c r="S4" s="11">
        <v>218.28055824513399</v>
      </c>
      <c r="T4" s="11">
        <v>151.77825041174501</v>
      </c>
      <c r="U4" s="11">
        <v>97.771014925373095</v>
      </c>
      <c r="V4" s="12">
        <v>11.6781804399837</v>
      </c>
      <c r="W4" s="12">
        <v>0.477527222188393</v>
      </c>
      <c r="X4" s="10">
        <f t="shared" ref="X4:X9" si="0">W4/V4</f>
        <v>4.0890550085477144E-2</v>
      </c>
      <c r="Y4" s="1">
        <f t="shared" ref="Y4:Y11" si="1">T4/MAX(K4:U4)</f>
        <v>8.7033335638920059E-2</v>
      </c>
      <c r="Z4" s="1">
        <f t="shared" ref="Z4:Z11" si="2">MAX(K4:U4)</f>
        <v>1743.90938021077</v>
      </c>
      <c r="AA4" s="12">
        <v>12.8468155532524</v>
      </c>
      <c r="AC4" s="10"/>
      <c r="AD4" s="62"/>
    </row>
    <row r="5" spans="1:34" s="12" customFormat="1">
      <c r="A5" s="55">
        <v>41573</v>
      </c>
      <c r="B5" s="54" t="s">
        <v>71</v>
      </c>
      <c r="C5" s="54" t="s">
        <v>72</v>
      </c>
      <c r="D5" s="31">
        <v>6</v>
      </c>
      <c r="E5" s="18"/>
      <c r="F5" s="13">
        <v>5.36991969762534</v>
      </c>
      <c r="G5" s="13">
        <v>35.457580111386399</v>
      </c>
      <c r="H5" s="13"/>
      <c r="I5" s="12">
        <v>82</v>
      </c>
      <c r="J5" s="11">
        <v>0</v>
      </c>
      <c r="K5" s="13">
        <v>568.66599134817397</v>
      </c>
      <c r="L5" s="13">
        <v>797.702808844164</v>
      </c>
      <c r="M5" s="13">
        <v>978.59226509245195</v>
      </c>
      <c r="N5" s="13">
        <v>1080.72565592826</v>
      </c>
      <c r="O5" s="13">
        <v>877.10903338841297</v>
      </c>
      <c r="P5" s="13">
        <v>517.20105029388196</v>
      </c>
      <c r="Q5" s="11">
        <v>304.22702577438997</v>
      </c>
      <c r="R5" s="11">
        <v>192.95054218705201</v>
      </c>
      <c r="S5" s="11">
        <v>132.38192532690999</v>
      </c>
      <c r="T5" s="11">
        <v>92.845948262088399</v>
      </c>
      <c r="U5" s="11">
        <v>71.472335786317799</v>
      </c>
      <c r="V5" s="12">
        <v>5.0863234431645896</v>
      </c>
      <c r="W5" s="12">
        <v>0.33031215824063598</v>
      </c>
      <c r="X5" s="10">
        <f t="shared" si="0"/>
        <v>6.4941241337008571E-2</v>
      </c>
      <c r="Y5" s="1">
        <f t="shared" si="1"/>
        <v>8.5910746869741775E-2</v>
      </c>
      <c r="Z5" s="1">
        <f t="shared" si="2"/>
        <v>1080.72565592826</v>
      </c>
      <c r="AA5" s="12">
        <v>17.4352990394319</v>
      </c>
      <c r="AC5" s="10"/>
      <c r="AD5" s="62"/>
    </row>
    <row r="6" spans="1:34" s="12" customFormat="1">
      <c r="A6" s="55">
        <v>41598</v>
      </c>
      <c r="B6" s="54" t="s">
        <v>15</v>
      </c>
      <c r="C6" s="54" t="s">
        <v>72</v>
      </c>
      <c r="D6" s="31">
        <v>6</v>
      </c>
      <c r="E6" s="20">
        <v>41595</v>
      </c>
      <c r="F6" s="13">
        <v>7.1729179602356403</v>
      </c>
      <c r="G6" s="13">
        <v>26.7515793468448</v>
      </c>
      <c r="H6" s="13"/>
      <c r="I6" s="12">
        <v>85</v>
      </c>
      <c r="J6" s="11">
        <v>0</v>
      </c>
      <c r="K6" s="13">
        <v>662.09264341276003</v>
      </c>
      <c r="L6" s="13">
        <v>786.33365717638299</v>
      </c>
      <c r="M6" s="13">
        <v>906.28926334117705</v>
      </c>
      <c r="N6" s="13">
        <v>921.946244156631</v>
      </c>
      <c r="O6" s="13">
        <v>706.81876738860296</v>
      </c>
      <c r="P6" s="13">
        <v>345.98328382734002</v>
      </c>
      <c r="Q6" s="11">
        <v>158.806727430264</v>
      </c>
      <c r="R6" s="11">
        <v>99.465475770238001</v>
      </c>
      <c r="S6" s="11">
        <v>72.203174097181105</v>
      </c>
      <c r="T6" s="11">
        <v>64.731093570802102</v>
      </c>
      <c r="U6" s="11">
        <v>55.344414550547299</v>
      </c>
      <c r="V6" s="12">
        <v>5.0305651171894397</v>
      </c>
      <c r="W6" s="12">
        <v>0.284443038102277</v>
      </c>
      <c r="X6" s="10">
        <f t="shared" si="0"/>
        <v>5.6542959185705642E-2</v>
      </c>
      <c r="Y6" s="1">
        <f t="shared" si="1"/>
        <v>7.0211353407070035E-2</v>
      </c>
      <c r="Z6" s="1">
        <f t="shared" si="2"/>
        <v>921.946244156631</v>
      </c>
      <c r="AA6" s="12">
        <v>12.684173286412699</v>
      </c>
      <c r="AC6" s="10"/>
      <c r="AD6" s="62"/>
    </row>
    <row r="7" spans="1:34" s="26" customFormat="1">
      <c r="A7" s="135">
        <v>41598</v>
      </c>
      <c r="B7" s="136" t="s">
        <v>10</v>
      </c>
      <c r="C7" s="136" t="s">
        <v>72</v>
      </c>
      <c r="D7" s="25">
        <v>6</v>
      </c>
      <c r="E7" s="28">
        <v>41595</v>
      </c>
      <c r="F7" s="39">
        <v>7.6688111383295698</v>
      </c>
      <c r="G7" s="39">
        <v>45.064569566523403</v>
      </c>
      <c r="H7" s="39"/>
      <c r="I7" s="26">
        <v>68</v>
      </c>
      <c r="J7" s="26">
        <v>0</v>
      </c>
      <c r="K7" s="39">
        <v>678.33334810126598</v>
      </c>
      <c r="L7" s="39">
        <v>811.93597094075506</v>
      </c>
      <c r="M7" s="39">
        <v>949.12801933895696</v>
      </c>
      <c r="N7" s="39">
        <v>929.25917582139402</v>
      </c>
      <c r="O7" s="39">
        <v>673.20402777162496</v>
      </c>
      <c r="P7" s="39">
        <v>354.30924800366199</v>
      </c>
      <c r="Q7" s="26">
        <v>172.70171395746499</v>
      </c>
      <c r="R7" s="26">
        <v>106.25497777531299</v>
      </c>
      <c r="S7" s="26">
        <v>83.536611019974899</v>
      </c>
      <c r="T7" s="26">
        <v>56.312807881773402</v>
      </c>
      <c r="U7" s="26">
        <v>50.917929489028403</v>
      </c>
      <c r="V7" s="26">
        <v>4.6953040421805499</v>
      </c>
      <c r="W7" s="29">
        <v>0.28973354557680098</v>
      </c>
      <c r="X7" s="29">
        <f t="shared" si="0"/>
        <v>6.1707089247887252E-2</v>
      </c>
      <c r="Y7" s="24">
        <f t="shared" si="1"/>
        <v>5.9331098370685349E-2</v>
      </c>
      <c r="Z7" s="1">
        <f t="shared" si="2"/>
        <v>949.12801933895696</v>
      </c>
      <c r="AA7" s="24">
        <v>11.7751143307008</v>
      </c>
      <c r="AC7" s="29"/>
      <c r="AD7" s="136"/>
    </row>
    <row r="8" spans="1:34" s="62" customFormat="1">
      <c r="A8" s="55">
        <v>41572</v>
      </c>
      <c r="B8" s="54" t="s">
        <v>69</v>
      </c>
      <c r="C8" s="54" t="s">
        <v>70</v>
      </c>
      <c r="D8" s="11">
        <v>6</v>
      </c>
      <c r="E8" s="54"/>
      <c r="F8" s="54">
        <v>5.8169992159500099</v>
      </c>
      <c r="G8" s="54">
        <v>26.694736213944001</v>
      </c>
      <c r="H8" s="54"/>
      <c r="I8" s="11">
        <v>88</v>
      </c>
      <c r="J8" s="54"/>
      <c r="K8" s="54">
        <v>324.74437194276999</v>
      </c>
      <c r="L8" s="54">
        <v>753.04004244847204</v>
      </c>
      <c r="M8" s="54">
        <v>931.78832484059001</v>
      </c>
      <c r="N8" s="54">
        <v>966.03426067386999</v>
      </c>
      <c r="O8" s="54">
        <v>874.67268934854405</v>
      </c>
      <c r="P8" s="54">
        <v>606.18562972856796</v>
      </c>
      <c r="Q8" s="54">
        <v>418.70622466625798</v>
      </c>
      <c r="R8" s="54">
        <v>287.957850184996</v>
      </c>
      <c r="S8" s="54">
        <v>177.62715875045299</v>
      </c>
      <c r="T8" s="54">
        <v>130.91477325515399</v>
      </c>
      <c r="U8" s="54">
        <v>60.902322903518701</v>
      </c>
      <c r="V8" s="62">
        <v>5.2579655645439702</v>
      </c>
      <c r="W8" s="62">
        <v>0.25933918693409902</v>
      </c>
      <c r="X8" s="10">
        <f t="shared" si="0"/>
        <v>4.9323104868335479E-2</v>
      </c>
      <c r="Y8" s="1">
        <f t="shared" si="1"/>
        <v>0.13551773325703029</v>
      </c>
      <c r="Z8" s="1">
        <f t="shared" si="2"/>
        <v>966.03426067386999</v>
      </c>
      <c r="AA8" s="141">
        <v>25.557605587870299</v>
      </c>
      <c r="AC8" s="10"/>
    </row>
    <row r="9" spans="1:34" s="12" customFormat="1">
      <c r="A9" s="55">
        <v>41572</v>
      </c>
      <c r="B9" s="54" t="s">
        <v>71</v>
      </c>
      <c r="C9" s="54" t="s">
        <v>70</v>
      </c>
      <c r="D9" s="32">
        <v>6</v>
      </c>
      <c r="E9" s="11"/>
      <c r="F9" s="54">
        <v>5.7315061971387502</v>
      </c>
      <c r="G9" s="54">
        <v>28.759094227258601</v>
      </c>
      <c r="H9" s="11" t="s">
        <v>91</v>
      </c>
      <c r="I9" s="11">
        <v>85</v>
      </c>
      <c r="J9" s="11">
        <v>0</v>
      </c>
      <c r="K9" s="12">
        <v>344.50207615513699</v>
      </c>
      <c r="L9" s="12">
        <v>416.20657047689201</v>
      </c>
      <c r="M9" s="12">
        <v>516.09141234350602</v>
      </c>
      <c r="N9" s="12">
        <v>590.42444984646897</v>
      </c>
      <c r="O9" s="12">
        <v>580.85213677947695</v>
      </c>
      <c r="P9" s="12">
        <v>397.18082238086402</v>
      </c>
      <c r="Q9" s="12">
        <v>278.12924984950803</v>
      </c>
      <c r="R9" s="12">
        <v>193.24658439447799</v>
      </c>
      <c r="S9" s="12">
        <v>105.83831604637</v>
      </c>
      <c r="T9" s="12">
        <v>77.567501360914505</v>
      </c>
      <c r="U9" s="12">
        <v>47.728384355216399</v>
      </c>
      <c r="V9" s="12">
        <v>1.5988227665571799</v>
      </c>
      <c r="W9" s="12">
        <v>0.19601988419618699</v>
      </c>
      <c r="X9" s="10">
        <f t="shared" si="0"/>
        <v>0.12260263507398372</v>
      </c>
      <c r="Y9" s="1">
        <f t="shared" si="1"/>
        <v>0.13137582866204944</v>
      </c>
      <c r="Z9" s="1">
        <f t="shared" si="2"/>
        <v>590.42444984646897</v>
      </c>
      <c r="AA9" s="142">
        <v>46.742279570449398</v>
      </c>
      <c r="AC9" s="10"/>
      <c r="AD9" s="62"/>
    </row>
    <row r="10" spans="1:34" s="12" customFormat="1">
      <c r="A10" s="55">
        <v>41599</v>
      </c>
      <c r="B10" s="54" t="s">
        <v>15</v>
      </c>
      <c r="C10" s="54" t="s">
        <v>70</v>
      </c>
      <c r="D10" s="31">
        <v>6</v>
      </c>
      <c r="E10" s="14">
        <v>41595</v>
      </c>
      <c r="F10" s="54">
        <v>5.7218315442144201</v>
      </c>
      <c r="G10" s="54">
        <v>33.456858089655199</v>
      </c>
      <c r="H10" s="11"/>
      <c r="I10" s="11">
        <v>76</v>
      </c>
      <c r="J10" s="11"/>
      <c r="K10" s="12">
        <v>254.06324467148099</v>
      </c>
      <c r="L10" s="12">
        <v>328.070828398635</v>
      </c>
      <c r="M10" s="12">
        <v>432.68758313614001</v>
      </c>
      <c r="N10" s="12">
        <v>492.48403491945697</v>
      </c>
      <c r="O10" s="12">
        <v>417.54228340171699</v>
      </c>
      <c r="P10" s="12">
        <v>201.256987004423</v>
      </c>
      <c r="Q10" s="12">
        <v>103.362784220252</v>
      </c>
      <c r="R10" s="12">
        <v>75.005582974980499</v>
      </c>
      <c r="S10" s="12">
        <v>58.718144235186003</v>
      </c>
      <c r="T10" s="12">
        <v>53.594990322213398</v>
      </c>
      <c r="U10" s="12">
        <v>48.223919915700698</v>
      </c>
      <c r="V10" s="12">
        <v>1.6149304873052901</v>
      </c>
      <c r="W10" s="10">
        <v>0.163890638809956</v>
      </c>
      <c r="Y10" s="1">
        <f t="shared" si="1"/>
        <v>0.10882584311789632</v>
      </c>
      <c r="Z10" s="1">
        <f t="shared" si="2"/>
        <v>492.48403491945697</v>
      </c>
      <c r="AA10" s="1">
        <v>30.875490968013199</v>
      </c>
      <c r="AC10" s="10"/>
      <c r="AD10" s="62"/>
    </row>
    <row r="11" spans="1:34" s="26" customFormat="1">
      <c r="A11" s="135">
        <v>41599</v>
      </c>
      <c r="B11" s="136" t="s">
        <v>10</v>
      </c>
      <c r="C11" s="136" t="s">
        <v>70</v>
      </c>
      <c r="D11" s="25">
        <v>6</v>
      </c>
      <c r="E11" s="27">
        <v>41595</v>
      </c>
      <c r="F11" s="26">
        <v>7.6640242883995802</v>
      </c>
      <c r="G11" s="136">
        <v>33.4134032047793</v>
      </c>
      <c r="I11" s="26">
        <v>60</v>
      </c>
      <c r="K11" s="26">
        <v>322.77281717572799</v>
      </c>
      <c r="L11" s="26">
        <v>435.91866302823797</v>
      </c>
      <c r="M11" s="26">
        <v>318.60234814451297</v>
      </c>
      <c r="N11" s="26">
        <v>519.22350954689</v>
      </c>
      <c r="O11" s="26">
        <v>427.27047036029001</v>
      </c>
      <c r="P11" s="26">
        <v>213.78637967591101</v>
      </c>
      <c r="Q11" s="26">
        <v>122.31676661111</v>
      </c>
      <c r="R11" s="26">
        <v>93.029120996116504</v>
      </c>
      <c r="S11" s="26">
        <v>77.617221933754394</v>
      </c>
      <c r="T11" s="26">
        <v>66.888475400709098</v>
      </c>
      <c r="U11" s="26">
        <v>61.549116178653399</v>
      </c>
      <c r="V11" s="26">
        <v>2.2073858121706902</v>
      </c>
      <c r="W11" s="26">
        <v>0.16225031595131201</v>
      </c>
      <c r="Y11" s="1">
        <f t="shared" si="1"/>
        <v>0.12882405008794875</v>
      </c>
      <c r="Z11" s="1">
        <f t="shared" si="2"/>
        <v>519.22350954689</v>
      </c>
      <c r="AA11" s="26">
        <v>28.922762935912399</v>
      </c>
      <c r="AC11" s="29"/>
      <c r="AD11" s="136"/>
    </row>
    <row r="12" spans="1:34" s="11" customFormat="1">
      <c r="A12" s="14"/>
      <c r="C12" s="1"/>
      <c r="D12" s="1"/>
      <c r="E12" s="14"/>
      <c r="F12" s="35"/>
      <c r="J12" s="62"/>
      <c r="Y12" s="1"/>
      <c r="Z12" s="1"/>
      <c r="AA12" s="32"/>
      <c r="AC12" s="10"/>
      <c r="AD12" s="10"/>
    </row>
    <row r="13" spans="1:34">
      <c r="Z13" s="1"/>
    </row>
    <row r="14" spans="1:34">
      <c r="D14" t="s">
        <v>158</v>
      </c>
      <c r="J14" s="62"/>
      <c r="K14" s="62"/>
      <c r="L14" s="62"/>
      <c r="M14" s="63"/>
      <c r="N14" s="62"/>
      <c r="O14" s="62"/>
      <c r="P14" s="62"/>
      <c r="Q14" s="62"/>
      <c r="R14" s="62"/>
      <c r="S14" s="62"/>
      <c r="T14" s="62"/>
      <c r="U14" s="62"/>
    </row>
    <row r="15" spans="1:34">
      <c r="A15" t="s">
        <v>82</v>
      </c>
      <c r="D15" s="144">
        <v>0</v>
      </c>
      <c r="E15" s="144">
        <v>0.5</v>
      </c>
      <c r="F15" s="144">
        <v>1</v>
      </c>
      <c r="G15" s="144">
        <v>2</v>
      </c>
      <c r="H15" s="144">
        <v>5</v>
      </c>
      <c r="I15" s="144">
        <v>10</v>
      </c>
      <c r="J15" s="144">
        <v>20</v>
      </c>
      <c r="K15" s="144">
        <v>30</v>
      </c>
      <c r="L15" s="144">
        <v>40</v>
      </c>
      <c r="M15" s="144">
        <v>50</v>
      </c>
      <c r="N15" s="144">
        <v>60</v>
      </c>
      <c r="O15" s="144">
        <v>75</v>
      </c>
      <c r="Q15" s="62"/>
      <c r="R15" s="62"/>
      <c r="S15" s="62"/>
      <c r="T15" s="62"/>
    </row>
    <row r="16" spans="1:34">
      <c r="A16" s="55">
        <v>41572</v>
      </c>
      <c r="B16" s="54" t="s">
        <v>69</v>
      </c>
      <c r="C16" s="54" t="s">
        <v>70</v>
      </c>
      <c r="D16">
        <f>0</f>
        <v>0</v>
      </c>
      <c r="E16">
        <f t="shared" ref="E16:O16" si="3">K8/$V$8</f>
        <v>61.762361878635744</v>
      </c>
      <c r="F16">
        <f t="shared" si="3"/>
        <v>143.21889963039044</v>
      </c>
      <c r="G16">
        <f t="shared" si="3"/>
        <v>177.21461150752233</v>
      </c>
      <c r="H16">
        <f t="shared" si="3"/>
        <v>183.72776481993856</v>
      </c>
      <c r="I16">
        <f t="shared" si="3"/>
        <v>166.35192425882795</v>
      </c>
      <c r="J16">
        <f t="shared" si="3"/>
        <v>115.28900718107749</v>
      </c>
      <c r="K16">
        <f t="shared" si="3"/>
        <v>79.632743791575763</v>
      </c>
      <c r="L16">
        <f t="shared" si="3"/>
        <v>54.766020554942706</v>
      </c>
      <c r="M16">
        <f t="shared" si="3"/>
        <v>33.782488030778651</v>
      </c>
      <c r="N16">
        <f t="shared" si="3"/>
        <v>24.898370224778827</v>
      </c>
      <c r="O16">
        <f t="shared" si="3"/>
        <v>11.582868346305123</v>
      </c>
      <c r="Q16" s="62"/>
      <c r="R16" s="62"/>
      <c r="S16" s="62"/>
      <c r="T16" s="62"/>
    </row>
    <row r="17" spans="1:21">
      <c r="A17" s="55">
        <v>41572</v>
      </c>
      <c r="B17" s="54" t="s">
        <v>71</v>
      </c>
      <c r="C17" s="54" t="s">
        <v>70</v>
      </c>
      <c r="D17">
        <v>0</v>
      </c>
      <c r="E17">
        <f t="shared" ref="E17:O17" si="4">K9/$V$9</f>
        <v>215.47233587182993</v>
      </c>
      <c r="F17">
        <f t="shared" si="4"/>
        <v>260.32064290223309</v>
      </c>
      <c r="G17">
        <f t="shared" si="4"/>
        <v>322.79463561482169</v>
      </c>
      <c r="H17">
        <f t="shared" si="4"/>
        <v>369.28699177699207</v>
      </c>
      <c r="I17">
        <f t="shared" si="4"/>
        <v>363.29989097556643</v>
      </c>
      <c r="J17">
        <f t="shared" si="4"/>
        <v>248.42079478023203</v>
      </c>
      <c r="K17">
        <f t="shared" si="4"/>
        <v>173.95877496066484</v>
      </c>
      <c r="L17">
        <f t="shared" si="4"/>
        <v>120.86804643807076</v>
      </c>
      <c r="M17">
        <f t="shared" si="4"/>
        <v>66.197653836439045</v>
      </c>
      <c r="N17">
        <f t="shared" si="4"/>
        <v>48.515384558817765</v>
      </c>
      <c r="O17">
        <f t="shared" si="4"/>
        <v>29.852204605512448</v>
      </c>
      <c r="Q17" s="62"/>
      <c r="R17" s="62"/>
      <c r="S17" s="62"/>
      <c r="T17" s="62"/>
    </row>
    <row r="18" spans="1:21">
      <c r="A18" s="55">
        <v>41599</v>
      </c>
      <c r="B18" s="54" t="s">
        <v>15</v>
      </c>
      <c r="C18" s="54" t="s">
        <v>70</v>
      </c>
      <c r="D18">
        <v>0</v>
      </c>
      <c r="E18">
        <f t="shared" ref="E18:O18" si="5">K10/$V$10</f>
        <v>157.32147400066532</v>
      </c>
      <c r="F18">
        <f t="shared" si="5"/>
        <v>203.14857572975879</v>
      </c>
      <c r="G18">
        <f t="shared" si="5"/>
        <v>267.92954033466322</v>
      </c>
      <c r="H18">
        <f t="shared" si="5"/>
        <v>304.9568007978022</v>
      </c>
      <c r="I18">
        <f t="shared" si="5"/>
        <v>258.55124210233816</v>
      </c>
      <c r="J18">
        <f t="shared" si="5"/>
        <v>124.62269341403356</v>
      </c>
      <c r="K18">
        <f t="shared" si="5"/>
        <v>64.004478850805214</v>
      </c>
      <c r="L18">
        <f t="shared" si="5"/>
        <v>46.44508451886157</v>
      </c>
      <c r="M18">
        <f t="shared" si="5"/>
        <v>36.359549031218329</v>
      </c>
      <c r="N18">
        <f t="shared" si="5"/>
        <v>33.187180961357178</v>
      </c>
      <c r="O18">
        <f t="shared" si="5"/>
        <v>29.861297619173833</v>
      </c>
      <c r="Q18" s="62"/>
      <c r="R18" s="62"/>
      <c r="S18" s="62"/>
      <c r="T18" s="62"/>
    </row>
    <row r="19" spans="1:21">
      <c r="A19" s="135">
        <v>41599</v>
      </c>
      <c r="B19" s="136" t="s">
        <v>10</v>
      </c>
      <c r="C19" s="136" t="s">
        <v>70</v>
      </c>
      <c r="D19">
        <v>0</v>
      </c>
      <c r="E19">
        <f t="shared" ref="E19:O19" si="6">K11/$V$11</f>
        <v>146.22401548296668</v>
      </c>
      <c r="F19">
        <f t="shared" si="6"/>
        <v>197.48186321790573</v>
      </c>
      <c r="G19">
        <f t="shared" si="6"/>
        <v>144.33469055923987</v>
      </c>
      <c r="H19">
        <f t="shared" si="6"/>
        <v>235.2210051745771</v>
      </c>
      <c r="I19">
        <f t="shared" si="6"/>
        <v>193.56401948607365</v>
      </c>
      <c r="J19">
        <f t="shared" si="6"/>
        <v>96.850481912665103</v>
      </c>
      <c r="K19">
        <f t="shared" si="6"/>
        <v>55.412500133280567</v>
      </c>
      <c r="L19">
        <f t="shared" si="6"/>
        <v>42.144477183457973</v>
      </c>
      <c r="M19">
        <f t="shared" si="6"/>
        <v>35.162508296375918</v>
      </c>
      <c r="N19">
        <f t="shared" si="6"/>
        <v>30.302122552347374</v>
      </c>
      <c r="O19">
        <f t="shared" si="6"/>
        <v>27.88326165697671</v>
      </c>
      <c r="P19" s="62"/>
      <c r="Q19" s="62"/>
      <c r="R19" s="62"/>
      <c r="S19" s="62"/>
      <c r="T19" s="62"/>
    </row>
    <row r="20" spans="1:21">
      <c r="A20" s="62"/>
      <c r="B20" s="62"/>
      <c r="C20" s="54" t="s">
        <v>161</v>
      </c>
      <c r="D20" s="61">
        <f>AVERAGE(D16:D19)</f>
        <v>0</v>
      </c>
      <c r="E20" s="61">
        <f>AVERAGE(E16:E19)</f>
        <v>145.19504680852441</v>
      </c>
      <c r="F20" s="61">
        <f t="shared" ref="F20:O20" si="7">AVERAGE(F16:F19)</f>
        <v>201.042495370072</v>
      </c>
      <c r="G20" s="61">
        <f t="shared" si="7"/>
        <v>228.06836950406179</v>
      </c>
      <c r="H20" s="61">
        <f t="shared" si="7"/>
        <v>273.2981406423275</v>
      </c>
      <c r="I20" s="61">
        <f t="shared" si="7"/>
        <v>245.44176920570155</v>
      </c>
      <c r="J20" s="61">
        <f t="shared" si="7"/>
        <v>146.29574432200204</v>
      </c>
      <c r="K20" s="61">
        <f t="shared" si="7"/>
        <v>93.252124434081594</v>
      </c>
      <c r="L20" s="61">
        <f t="shared" si="7"/>
        <v>66.055907173833248</v>
      </c>
      <c r="M20" s="61">
        <f t="shared" si="7"/>
        <v>42.875549798702991</v>
      </c>
      <c r="N20" s="61">
        <f t="shared" si="7"/>
        <v>34.225764574325289</v>
      </c>
      <c r="O20" s="61">
        <f t="shared" si="7"/>
        <v>24.794908056992028</v>
      </c>
      <c r="P20" s="62"/>
      <c r="Q20" s="62"/>
      <c r="R20" s="62"/>
      <c r="S20" s="62"/>
      <c r="T20" s="62"/>
    </row>
    <row r="21" spans="1:21">
      <c r="A21" s="62"/>
      <c r="B21" s="62"/>
      <c r="C21" s="54" t="s">
        <v>31</v>
      </c>
      <c r="D21" s="61">
        <f>_xlfn.STDEV.P(D16:D19)/COUNT(D16:D19)</f>
        <v>0</v>
      </c>
      <c r="E21" s="61">
        <f t="shared" ref="E21:O21" si="8">_xlfn.STDEV.P(E16:E19)/COUNT(E16:E19)</f>
        <v>13.720433715400526</v>
      </c>
      <c r="F21" s="61">
        <f t="shared" si="8"/>
        <v>10.36413638686561</v>
      </c>
      <c r="G21" s="61">
        <f t="shared" si="8"/>
        <v>17.747980573186858</v>
      </c>
      <c r="H21" s="61">
        <f t="shared" si="8"/>
        <v>17.539620673361377</v>
      </c>
      <c r="I21" s="61">
        <f t="shared" si="8"/>
        <v>18.960855909462193</v>
      </c>
      <c r="J21" s="61">
        <f t="shared" si="8"/>
        <v>14.950699601946932</v>
      </c>
      <c r="K21" s="61">
        <f t="shared" si="8"/>
        <v>11.849520630926534</v>
      </c>
      <c r="L21" s="61">
        <f t="shared" si="8"/>
        <v>7.9923527903034302</v>
      </c>
      <c r="M21" s="61">
        <f t="shared" si="8"/>
        <v>3.3739664720306144</v>
      </c>
      <c r="N21" s="61">
        <f t="shared" si="8"/>
        <v>2.1925553987118613</v>
      </c>
      <c r="O21" s="61">
        <f t="shared" si="8"/>
        <v>1.9176013371640197</v>
      </c>
      <c r="P21" s="62"/>
      <c r="Q21" s="62"/>
      <c r="R21" s="62"/>
      <c r="S21" s="62"/>
      <c r="T21" s="62"/>
    </row>
    <row r="22" spans="1:21">
      <c r="A22" s="62"/>
      <c r="B22" s="62"/>
      <c r="C22" s="62"/>
      <c r="J22" s="62"/>
      <c r="K22" s="62"/>
      <c r="L22" s="62"/>
      <c r="M22" s="63"/>
      <c r="N22" s="62"/>
      <c r="O22" s="62"/>
      <c r="P22" s="62"/>
      <c r="Q22" s="62"/>
      <c r="R22" s="62"/>
      <c r="S22" s="62"/>
      <c r="T22" s="62"/>
      <c r="U22" s="62"/>
    </row>
    <row r="23" spans="1:21">
      <c r="A23" s="55">
        <v>41573</v>
      </c>
      <c r="B23" s="54" t="s">
        <v>69</v>
      </c>
      <c r="C23" s="54" t="s">
        <v>72</v>
      </c>
      <c r="D23">
        <v>0</v>
      </c>
      <c r="E23">
        <f t="shared" ref="E23:O23" si="9">K4/$V$4</f>
        <v>103.78313150842715</v>
      </c>
      <c r="F23">
        <f t="shared" si="9"/>
        <v>125.63847193757334</v>
      </c>
      <c r="G23">
        <f t="shared" si="9"/>
        <v>149.33057330061291</v>
      </c>
      <c r="H23">
        <f t="shared" si="9"/>
        <v>138.50119717211166</v>
      </c>
      <c r="I23">
        <f t="shared" si="9"/>
        <v>112.37163671357193</v>
      </c>
      <c r="J23">
        <f t="shared" si="9"/>
        <v>70.603493926956375</v>
      </c>
      <c r="K23">
        <f t="shared" si="9"/>
        <v>44.804230587061419</v>
      </c>
      <c r="L23">
        <f t="shared" si="9"/>
        <v>26.698712183316818</v>
      </c>
      <c r="M23">
        <f t="shared" si="9"/>
        <v>18.691315771914777</v>
      </c>
      <c r="N23">
        <f t="shared" si="9"/>
        <v>12.996737907224599</v>
      </c>
      <c r="O23">
        <f t="shared" si="9"/>
        <v>8.3721103152872303</v>
      </c>
      <c r="P23" s="62"/>
      <c r="Q23" s="62"/>
      <c r="R23" s="62"/>
      <c r="S23" s="62"/>
      <c r="T23" s="62"/>
      <c r="U23" s="62"/>
    </row>
    <row r="24" spans="1:21">
      <c r="A24" s="55">
        <v>41573</v>
      </c>
      <c r="B24" s="54" t="s">
        <v>71</v>
      </c>
      <c r="C24" s="54" t="s">
        <v>72</v>
      </c>
      <c r="D24">
        <v>0</v>
      </c>
      <c r="E24">
        <f t="shared" ref="E24:O24" si="10">K5/$V$5</f>
        <v>111.80295506224502</v>
      </c>
      <c r="F24">
        <f t="shared" si="10"/>
        <v>156.83289074275862</v>
      </c>
      <c r="G24">
        <f t="shared" si="10"/>
        <v>192.39678247508286</v>
      </c>
      <c r="H24">
        <f t="shared" si="10"/>
        <v>212.47678563985664</v>
      </c>
      <c r="I24">
        <f t="shared" si="10"/>
        <v>172.44460427838945</v>
      </c>
      <c r="J24">
        <f t="shared" si="10"/>
        <v>101.68465613191357</v>
      </c>
      <c r="K24">
        <f t="shared" si="10"/>
        <v>59.812756536990328</v>
      </c>
      <c r="L24">
        <f t="shared" si="10"/>
        <v>37.935169546945438</v>
      </c>
      <c r="M24">
        <f t="shared" si="10"/>
        <v>26.027036386137706</v>
      </c>
      <c r="N24">
        <f t="shared" si="10"/>
        <v>18.254039346802109</v>
      </c>
      <c r="O24">
        <f t="shared" si="10"/>
        <v>14.05186606494089</v>
      </c>
      <c r="P24" s="62"/>
      <c r="Q24" s="62"/>
      <c r="R24" s="62"/>
      <c r="S24" s="62"/>
      <c r="T24" s="62"/>
      <c r="U24" s="62"/>
    </row>
    <row r="25" spans="1:21">
      <c r="A25" s="55">
        <v>41598</v>
      </c>
      <c r="B25" s="54" t="s">
        <v>15</v>
      </c>
      <c r="C25" s="54" t="s">
        <v>72</v>
      </c>
      <c r="D25">
        <v>0</v>
      </c>
      <c r="E25">
        <f t="shared" ref="E25:O26" si="11">K6/$V$6</f>
        <v>131.61396940283899</v>
      </c>
      <c r="F25">
        <f t="shared" si="11"/>
        <v>156.31119742183262</v>
      </c>
      <c r="G25">
        <f t="shared" si="11"/>
        <v>180.15655144675236</v>
      </c>
      <c r="H25">
        <f t="shared" si="11"/>
        <v>183.26892161803869</v>
      </c>
      <c r="I25">
        <f t="shared" si="11"/>
        <v>140.50484407276699</v>
      </c>
      <c r="J25">
        <f t="shared" si="11"/>
        <v>68.776226083450396</v>
      </c>
      <c r="K25">
        <f t="shared" si="11"/>
        <v>31.568367316749654</v>
      </c>
      <c r="L25">
        <f t="shared" si="11"/>
        <v>19.772227066570412</v>
      </c>
      <c r="M25">
        <f t="shared" si="11"/>
        <v>14.352895234466377</v>
      </c>
      <c r="N25">
        <f t="shared" si="11"/>
        <v>12.867559024256733</v>
      </c>
      <c r="O25">
        <f t="shared" si="11"/>
        <v>11.001629689959772</v>
      </c>
      <c r="P25" s="62"/>
      <c r="Q25" s="62"/>
      <c r="R25" s="62"/>
      <c r="S25" s="62"/>
      <c r="T25" s="62"/>
      <c r="U25" s="62"/>
    </row>
    <row r="26" spans="1:21">
      <c r="A26" s="135">
        <v>41598</v>
      </c>
      <c r="B26" s="136" t="s">
        <v>10</v>
      </c>
      <c r="C26" s="136" t="s">
        <v>72</v>
      </c>
      <c r="D26">
        <v>0</v>
      </c>
      <c r="E26">
        <f t="shared" si="11"/>
        <v>134.84237502132734</v>
      </c>
      <c r="F26">
        <f t="shared" si="11"/>
        <v>161.40054885014212</v>
      </c>
      <c r="G26">
        <f t="shared" si="11"/>
        <v>188.67224600587849</v>
      </c>
      <c r="H26">
        <f t="shared" si="11"/>
        <v>184.72262144984779</v>
      </c>
      <c r="I26">
        <f t="shared" si="11"/>
        <v>133.82274398382935</v>
      </c>
      <c r="J26">
        <f t="shared" si="11"/>
        <v>70.431301404485822</v>
      </c>
      <c r="K26">
        <f t="shared" si="11"/>
        <v>34.330479764061351</v>
      </c>
      <c r="L26">
        <f t="shared" si="11"/>
        <v>21.121877025751992</v>
      </c>
      <c r="M26">
        <f t="shared" si="11"/>
        <v>16.605810495232497</v>
      </c>
      <c r="N26">
        <f t="shared" si="11"/>
        <v>11.194131587592922</v>
      </c>
      <c r="O26">
        <f t="shared" si="11"/>
        <v>10.121711637335109</v>
      </c>
      <c r="P26" s="62"/>
      <c r="Q26" s="62"/>
      <c r="R26" s="62"/>
      <c r="S26" s="62"/>
      <c r="T26" s="62"/>
      <c r="U26" s="62"/>
    </row>
    <row r="27" spans="1:21">
      <c r="A27" s="62"/>
      <c r="B27" s="62"/>
      <c r="C27" s="54" t="s">
        <v>161</v>
      </c>
      <c r="D27" s="61">
        <f>AVERAGE(D23:D26)</f>
        <v>0</v>
      </c>
      <c r="E27" s="61">
        <f t="shared" ref="E27:O27" si="12">AVERAGE(E23:E26)</f>
        <v>120.51060774870962</v>
      </c>
      <c r="F27" s="61">
        <f t="shared" si="12"/>
        <v>150.04577723807665</v>
      </c>
      <c r="G27" s="61">
        <f t="shared" si="12"/>
        <v>177.63903830708165</v>
      </c>
      <c r="H27" s="61">
        <f t="shared" si="12"/>
        <v>179.7423814699637</v>
      </c>
      <c r="I27" s="61">
        <f t="shared" si="12"/>
        <v>139.78595726213942</v>
      </c>
      <c r="J27" s="61">
        <f t="shared" si="12"/>
        <v>77.873919386701544</v>
      </c>
      <c r="K27" s="61">
        <f t="shared" si="12"/>
        <v>42.628958551215689</v>
      </c>
      <c r="L27" s="61">
        <f t="shared" si="12"/>
        <v>26.381996455646167</v>
      </c>
      <c r="M27" s="61">
        <f t="shared" si="12"/>
        <v>18.919264471937836</v>
      </c>
      <c r="N27" s="61">
        <f t="shared" si="12"/>
        <v>13.828116966469091</v>
      </c>
      <c r="O27" s="61">
        <f t="shared" si="12"/>
        <v>10.88682942688075</v>
      </c>
      <c r="P27" s="62"/>
      <c r="Q27" s="62"/>
      <c r="R27" s="62"/>
      <c r="S27" s="62"/>
      <c r="T27" s="62"/>
      <c r="U27" s="62"/>
    </row>
    <row r="28" spans="1:21">
      <c r="A28" s="62"/>
      <c r="B28" s="62"/>
      <c r="C28" s="54" t="s">
        <v>31</v>
      </c>
      <c r="D28" s="61">
        <f>_xlfn.STDEV.P(D23:D26)/COUNT(D23:D26)</f>
        <v>0</v>
      </c>
      <c r="E28" s="61">
        <f t="shared" ref="E28:O28" si="13">_xlfn.STDEV.P(E23:E26)/COUNT(E23:E26)</f>
        <v>3.2699289696418243</v>
      </c>
      <c r="F28" s="61">
        <f t="shared" si="13"/>
        <v>3.5574916334199704</v>
      </c>
      <c r="G28" s="61">
        <f t="shared" si="13"/>
        <v>4.2338475196988439</v>
      </c>
      <c r="H28" s="61">
        <f t="shared" si="13"/>
        <v>6.6257261091715991</v>
      </c>
      <c r="I28" s="61">
        <f t="shared" si="13"/>
        <v>5.3825657609207935</v>
      </c>
      <c r="J28" s="61">
        <f t="shared" si="13"/>
        <v>3.4414088153162234</v>
      </c>
      <c r="K28" s="61">
        <f t="shared" si="13"/>
        <v>2.7704245790431234</v>
      </c>
      <c r="L28" s="61">
        <f t="shared" si="13"/>
        <v>1.7894396169051969</v>
      </c>
      <c r="M28" s="61">
        <f t="shared" si="13"/>
        <v>1.0952752187620358</v>
      </c>
      <c r="N28" s="61">
        <f t="shared" si="13"/>
        <v>0.66309561190020383</v>
      </c>
      <c r="O28" s="61">
        <f t="shared" si="13"/>
        <v>0.51447566546495616</v>
      </c>
      <c r="P28" s="62"/>
      <c r="Q28" s="62"/>
      <c r="R28" s="62"/>
      <c r="S28" s="62"/>
      <c r="T28" s="62"/>
      <c r="U28" s="62"/>
    </row>
    <row r="29" spans="1:21">
      <c r="J29" s="62"/>
      <c r="K29" s="62"/>
      <c r="L29" s="62"/>
      <c r="M29" s="63"/>
      <c r="N29" s="62"/>
      <c r="O29" s="62"/>
      <c r="P29" s="62"/>
      <c r="Q29" s="62"/>
      <c r="R29" s="62"/>
      <c r="S29" s="62"/>
      <c r="T29" s="62"/>
      <c r="U29" s="62"/>
    </row>
    <row r="30" spans="1:21">
      <c r="G30" t="s">
        <v>159</v>
      </c>
      <c r="H30" s="62">
        <f>_xlfn.T.TEST(H16:H19,H23:H26,2,1)</f>
        <v>4.1856471740866631E-2</v>
      </c>
      <c r="I30" s="62">
        <f t="shared" ref="I30:O30" si="14">_xlfn.T.TEST(I16:I19,I23:I26,2,1)</f>
        <v>4.5227588564736437E-2</v>
      </c>
      <c r="J30" s="62">
        <f t="shared" si="14"/>
        <v>8.3719841593411337E-2</v>
      </c>
      <c r="K30" s="62">
        <f t="shared" si="14"/>
        <v>9.8756255490883973E-2</v>
      </c>
      <c r="L30" s="62">
        <f t="shared" si="14"/>
        <v>7.1568986776186325E-2</v>
      </c>
      <c r="M30" s="62">
        <f>_xlfn.T.TEST(M16:M19,M23:M26,2,1)</f>
        <v>2.3304779407023933E-2</v>
      </c>
      <c r="N30" s="62">
        <f t="shared" si="14"/>
        <v>1.2440729578354973E-2</v>
      </c>
      <c r="O30" s="62">
        <f t="shared" si="14"/>
        <v>3.1140055923203337E-2</v>
      </c>
      <c r="P30" s="62"/>
      <c r="Q30" s="62"/>
      <c r="R30" s="62"/>
      <c r="S30" s="62"/>
      <c r="T30" s="62"/>
      <c r="U30" s="62"/>
    </row>
  </sheetData>
  <phoneticPr fontId="1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zoomScaleNormal="85" zoomScalePageLayoutView="85" workbookViewId="0">
      <selection activeCell="I36" sqref="I36"/>
    </sheetView>
  </sheetViews>
  <sheetFormatPr baseColWidth="10" defaultColWidth="8.83203125" defaultRowHeight="14" x14ac:dyDescent="0"/>
  <cols>
    <col min="4" max="4" width="11.33203125" customWidth="1"/>
    <col min="8" max="8" width="12" bestFit="1" customWidth="1"/>
    <col min="9" max="9" width="12.6640625" bestFit="1" customWidth="1"/>
    <col min="11" max="11" width="12.33203125" bestFit="1" customWidth="1"/>
    <col min="12" max="15" width="12.33203125" customWidth="1"/>
    <col min="17" max="17" width="13.6640625" bestFit="1" customWidth="1"/>
    <col min="18" max="20" width="12.33203125" bestFit="1" customWidth="1"/>
  </cols>
  <sheetData>
    <row r="1" spans="1:20">
      <c r="A1" s="44" t="s">
        <v>51</v>
      </c>
      <c r="B1" s="44"/>
      <c r="C1" s="44"/>
      <c r="D1" s="44" t="s">
        <v>52</v>
      </c>
      <c r="P1" s="8"/>
    </row>
    <row r="2" spans="1:20" s="46" customFormat="1">
      <c r="A2" s="45"/>
      <c r="B2" s="60"/>
      <c r="C2" s="46" t="s">
        <v>61</v>
      </c>
      <c r="D2" s="46" t="s">
        <v>49</v>
      </c>
      <c r="E2" s="46" t="s">
        <v>63</v>
      </c>
      <c r="F2" s="46" t="s">
        <v>39</v>
      </c>
      <c r="G2" s="46" t="s">
        <v>50</v>
      </c>
      <c r="H2" s="46" t="s">
        <v>57</v>
      </c>
      <c r="I2" s="46" t="s">
        <v>6</v>
      </c>
      <c r="J2" s="46" t="s">
        <v>58</v>
      </c>
      <c r="K2" s="46" t="s">
        <v>64</v>
      </c>
      <c r="L2" s="46" t="s">
        <v>78</v>
      </c>
      <c r="M2" s="46" t="s">
        <v>76</v>
      </c>
      <c r="N2" s="46" t="s">
        <v>79</v>
      </c>
      <c r="O2" s="46" t="s">
        <v>80</v>
      </c>
      <c r="P2" s="50"/>
      <c r="Q2" s="46" t="s">
        <v>65</v>
      </c>
      <c r="R2" s="46" t="s">
        <v>66</v>
      </c>
      <c r="S2" s="46" t="s">
        <v>68</v>
      </c>
      <c r="T2" s="46" t="s">
        <v>67</v>
      </c>
    </row>
    <row r="3" spans="1:20">
      <c r="A3" s="21" t="s">
        <v>53</v>
      </c>
      <c r="B3" s="21">
        <v>1</v>
      </c>
      <c r="C3" s="21">
        <v>36.457605274861102</v>
      </c>
      <c r="D3" s="21">
        <v>472</v>
      </c>
      <c r="E3" s="21">
        <f>D3/60</f>
        <v>7.8666666666666663</v>
      </c>
      <c r="F3" s="21">
        <f>1/E3</f>
        <v>0.1271186440677966</v>
      </c>
      <c r="G3" s="21">
        <v>0.36118117369435598</v>
      </c>
      <c r="H3" s="47">
        <v>112.68852619264</v>
      </c>
      <c r="I3" s="21">
        <v>488.42336748421798</v>
      </c>
      <c r="J3" s="21">
        <v>4.3743965132225</v>
      </c>
      <c r="K3">
        <v>0.18057681916426499</v>
      </c>
      <c r="L3">
        <v>0.273872346936466</v>
      </c>
      <c r="M3">
        <f>L3/J3</f>
        <v>6.260802972675919E-2</v>
      </c>
      <c r="N3">
        <f>I3*M3</f>
        <v>30.579224710695748</v>
      </c>
      <c r="O3">
        <f>G3/E3</f>
        <v>4.5912861062841863E-2</v>
      </c>
      <c r="P3" s="8"/>
      <c r="Q3">
        <v>0.32262981836030602</v>
      </c>
      <c r="R3">
        <v>337.85982794090103</v>
      </c>
      <c r="S3">
        <f>R3/60</f>
        <v>5.6309971323483508</v>
      </c>
      <c r="T3">
        <v>109.945136751527</v>
      </c>
    </row>
    <row r="4" spans="1:20">
      <c r="A4" s="21"/>
      <c r="B4" s="21">
        <v>1</v>
      </c>
      <c r="C4" s="21">
        <v>31.943848970461399</v>
      </c>
      <c r="D4" s="21">
        <v>626</v>
      </c>
      <c r="E4" s="21">
        <f t="shared" ref="E4:E28" si="0">D4/60</f>
        <v>10.433333333333334</v>
      </c>
      <c r="F4" s="21">
        <f t="shared" ref="F4:F28" si="1">1/E4</f>
        <v>9.5846645367412137E-2</v>
      </c>
      <c r="G4" s="21">
        <v>0.29347062712226102</v>
      </c>
      <c r="H4" s="47">
        <v>159.64802115451201</v>
      </c>
      <c r="I4" s="21">
        <v>315.95079392459297</v>
      </c>
      <c r="J4" s="21">
        <v>2.01226715730599</v>
      </c>
      <c r="K4">
        <v>0.106360883465418</v>
      </c>
      <c r="L4">
        <v>0.25701960419023401</v>
      </c>
      <c r="M4">
        <f t="shared" ref="M4:M28" si="2">L4/J4</f>
        <v>0.12772638228331976</v>
      </c>
      <c r="N4">
        <f t="shared" ref="N4:N28" si="3">I4*M4</f>
        <v>40.35525188753094</v>
      </c>
      <c r="O4">
        <f t="shared" ref="O4:O28" si="4">G4/E4</f>
        <v>2.8128175123539396E-2</v>
      </c>
      <c r="P4" s="8"/>
      <c r="Q4">
        <v>0.25152292433732598</v>
      </c>
      <c r="R4">
        <v>468.02500463048699</v>
      </c>
      <c r="S4">
        <f t="shared" ref="S4:S15" si="5">R4/60</f>
        <v>7.80041674384145</v>
      </c>
      <c r="T4">
        <v>122.87184219332001</v>
      </c>
    </row>
    <row r="5" spans="1:20">
      <c r="A5" s="21"/>
      <c r="B5" s="21">
        <v>1</v>
      </c>
      <c r="C5" s="21">
        <v>26.0967353993492</v>
      </c>
      <c r="D5" s="21">
        <v>368</v>
      </c>
      <c r="E5" s="21">
        <f t="shared" si="0"/>
        <v>6.1333333333333337</v>
      </c>
      <c r="F5" s="21">
        <f t="shared" si="1"/>
        <v>0.16304347826086957</v>
      </c>
      <c r="G5" s="21">
        <v>0.51391600692164396</v>
      </c>
      <c r="H5" s="47">
        <v>114.404367038475</v>
      </c>
      <c r="I5" s="21">
        <v>149.33862628642501</v>
      </c>
      <c r="J5" s="21">
        <v>1.4030135539363999</v>
      </c>
      <c r="K5">
        <v>0.12758493560879</v>
      </c>
      <c r="L5">
        <v>5.3524860085200597E-2</v>
      </c>
      <c r="M5">
        <f t="shared" si="2"/>
        <v>3.8149923737391733E-2</v>
      </c>
      <c r="N5">
        <f t="shared" si="3"/>
        <v>5.6972572038739582</v>
      </c>
      <c r="O5">
        <f t="shared" si="4"/>
        <v>8.3790653302441939E-2</v>
      </c>
      <c r="P5" s="8"/>
      <c r="Q5">
        <v>0.326343360823316</v>
      </c>
      <c r="R5">
        <v>352.83620380634102</v>
      </c>
      <c r="S5">
        <f t="shared" si="5"/>
        <v>5.8806033967723499</v>
      </c>
      <c r="T5">
        <v>117.220589361465</v>
      </c>
    </row>
    <row r="6" spans="1:20">
      <c r="A6" s="21"/>
      <c r="B6" s="54">
        <v>1</v>
      </c>
      <c r="C6" s="21">
        <v>11.348870025153399</v>
      </c>
      <c r="D6" s="21">
        <v>1020</v>
      </c>
      <c r="E6" s="21">
        <f t="shared" si="0"/>
        <v>17</v>
      </c>
      <c r="F6" s="21">
        <f t="shared" si="1"/>
        <v>5.8823529411764705E-2</v>
      </c>
      <c r="G6" s="21">
        <v>0.339308510404631</v>
      </c>
      <c r="H6" s="47">
        <v>278.91159555260799</v>
      </c>
      <c r="I6" s="21">
        <v>248.13548288274501</v>
      </c>
      <c r="J6" s="21">
        <v>0.89313163843427701</v>
      </c>
      <c r="K6">
        <v>0.10502409041786701</v>
      </c>
      <c r="L6">
        <v>0.17151437217061399</v>
      </c>
      <c r="M6">
        <f t="shared" si="2"/>
        <v>0.19203705790928069</v>
      </c>
      <c r="N6">
        <f t="shared" si="3"/>
        <v>47.65120809570103</v>
      </c>
      <c r="O6">
        <f t="shared" si="4"/>
        <v>1.9959324141448881E-2</v>
      </c>
      <c r="P6" s="8"/>
      <c r="Q6">
        <v>0.28313922380829298</v>
      </c>
      <c r="R6">
        <v>773.86116619325799</v>
      </c>
      <c r="S6">
        <f t="shared" si="5"/>
        <v>12.897686103220966</v>
      </c>
      <c r="T6">
        <v>238.53134291021999</v>
      </c>
    </row>
    <row r="7" spans="1:20">
      <c r="A7" s="21"/>
      <c r="B7" s="21">
        <v>1</v>
      </c>
      <c r="C7" s="21">
        <v>20.618963356453499</v>
      </c>
      <c r="D7" s="21">
        <v>348</v>
      </c>
      <c r="E7" s="21">
        <f t="shared" si="0"/>
        <v>5.8</v>
      </c>
      <c r="F7" s="21">
        <f t="shared" si="1"/>
        <v>0.17241379310344829</v>
      </c>
      <c r="G7" s="21">
        <v>0.24357707972939499</v>
      </c>
      <c r="H7" s="47">
        <v>34.100791162115399</v>
      </c>
      <c r="I7" s="21">
        <v>101.959817266455</v>
      </c>
      <c r="J7" s="21">
        <v>3.3443718485637901</v>
      </c>
      <c r="K7">
        <v>8.1342449792867394E-2</v>
      </c>
      <c r="L7">
        <v>0.110266535022503</v>
      </c>
      <c r="M7">
        <f t="shared" si="2"/>
        <v>3.2970775982896744E-2</v>
      </c>
      <c r="N7">
        <f t="shared" si="3"/>
        <v>3.3616942943493755</v>
      </c>
      <c r="O7">
        <f t="shared" si="4"/>
        <v>4.1996048229206037E-2</v>
      </c>
      <c r="P7" s="8"/>
      <c r="Q7">
        <v>0.166241112091711</v>
      </c>
      <c r="R7">
        <v>246.503585236954</v>
      </c>
      <c r="S7">
        <f t="shared" si="5"/>
        <v>4.1083930872825665</v>
      </c>
      <c r="T7">
        <v>47.107874953524899</v>
      </c>
    </row>
    <row r="8" spans="1:20">
      <c r="A8" s="21"/>
      <c r="B8" s="21">
        <v>1</v>
      </c>
      <c r="C8" s="21">
        <v>46.632158146912701</v>
      </c>
      <c r="D8" s="21">
        <v>672</v>
      </c>
      <c r="E8" s="21">
        <f t="shared" si="0"/>
        <v>11.2</v>
      </c>
      <c r="F8" s="21">
        <f t="shared" si="1"/>
        <v>8.9285714285714288E-2</v>
      </c>
      <c r="G8" s="21">
        <v>3.6200024834663197E-2</v>
      </c>
      <c r="H8" s="47">
        <v>23.3128159935235</v>
      </c>
      <c r="I8" s="21">
        <v>80.188283918371994</v>
      </c>
      <c r="J8" s="21">
        <v>3.56014291331882</v>
      </c>
      <c r="K8">
        <v>6.3157139319164293E-2</v>
      </c>
      <c r="L8">
        <v>0.78138692798123</v>
      </c>
      <c r="M8">
        <f t="shared" si="2"/>
        <v>0.21948189918387548</v>
      </c>
      <c r="N8">
        <f t="shared" si="3"/>
        <v>17.599876846700106</v>
      </c>
      <c r="O8">
        <f t="shared" si="4"/>
        <v>3.2321450745234999E-3</v>
      </c>
      <c r="P8" s="8"/>
      <c r="Q8">
        <v>3.6105747758598303E-2</v>
      </c>
      <c r="R8">
        <v>643.08973830505499</v>
      </c>
      <c r="S8">
        <f t="shared" si="5"/>
        <v>10.718162305084251</v>
      </c>
      <c r="T8">
        <v>23.224423541574101</v>
      </c>
    </row>
    <row r="9" spans="1:20">
      <c r="A9" s="21"/>
      <c r="B9" s="21">
        <v>1</v>
      </c>
      <c r="C9" s="21">
        <v>53.604226003601397</v>
      </c>
      <c r="D9" s="21">
        <v>1174</v>
      </c>
      <c r="E9" s="21">
        <f t="shared" si="0"/>
        <v>19.566666666666666</v>
      </c>
      <c r="F9" s="21">
        <f t="shared" si="1"/>
        <v>5.1107325383304938E-2</v>
      </c>
      <c r="G9" s="21">
        <v>0.10050859821730999</v>
      </c>
      <c r="H9" s="47">
        <v>114.78081916417101</v>
      </c>
      <c r="I9" s="21">
        <v>96.771582363242999</v>
      </c>
      <c r="J9" s="21">
        <v>0.824997221764454</v>
      </c>
      <c r="K9">
        <v>7.9266902692723296E-2</v>
      </c>
      <c r="L9">
        <v>0.36137137247209999</v>
      </c>
      <c r="M9">
        <f t="shared" si="2"/>
        <v>0.4380273811095034</v>
      </c>
      <c r="N9">
        <f t="shared" si="3"/>
        <v>42.388602788393939</v>
      </c>
      <c r="O9">
        <f t="shared" si="4"/>
        <v>5.1367256329119251E-3</v>
      </c>
      <c r="P9" s="8"/>
      <c r="Q9">
        <v>9.0703529110009895E-2</v>
      </c>
      <c r="R9">
        <v>1087.2964504762001</v>
      </c>
      <c r="S9">
        <f t="shared" si="5"/>
        <v>18.12160750793667</v>
      </c>
      <c r="T9">
        <v>99.501890796358893</v>
      </c>
    </row>
    <row r="10" spans="1:20" s="21" customFormat="1">
      <c r="B10" s="54">
        <v>1</v>
      </c>
      <c r="C10" s="21">
        <v>59.1066559905505</v>
      </c>
      <c r="D10" s="21">
        <v>540</v>
      </c>
      <c r="E10" s="21">
        <f t="shared" si="0"/>
        <v>9</v>
      </c>
      <c r="F10" s="21">
        <f t="shared" si="1"/>
        <v>0.1111111111111111</v>
      </c>
      <c r="G10" s="21">
        <v>0.30168795221426598</v>
      </c>
      <c r="H10" s="47">
        <v>168.17664567582199</v>
      </c>
      <c r="I10" s="21">
        <v>355.22526004513497</v>
      </c>
      <c r="J10" s="21">
        <v>2.11460223142605</v>
      </c>
      <c r="K10" s="21">
        <v>3.6103262337896298E-2</v>
      </c>
      <c r="L10" s="21">
        <v>0.27802817384037398</v>
      </c>
      <c r="M10" s="21">
        <f t="shared" si="2"/>
        <v>0.13148012884336963</v>
      </c>
      <c r="N10" s="21">
        <f t="shared" si="3"/>
        <v>46.705062959153828</v>
      </c>
      <c r="O10" s="21">
        <f t="shared" si="4"/>
        <v>3.3520883579362885E-2</v>
      </c>
      <c r="P10" s="8"/>
      <c r="Q10" s="21">
        <v>0.26773598238297402</v>
      </c>
      <c r="R10" s="21">
        <v>380.58042639435598</v>
      </c>
      <c r="S10" s="21">
        <f t="shared" si="5"/>
        <v>6.3430071065725997</v>
      </c>
      <c r="T10" s="21">
        <v>104.423077939854</v>
      </c>
    </row>
    <row r="11" spans="1:20" s="93" customFormat="1">
      <c r="A11" s="93" t="s">
        <v>55</v>
      </c>
      <c r="B11" s="95">
        <v>2</v>
      </c>
      <c r="C11" s="93">
        <v>34.425678949828502</v>
      </c>
      <c r="D11" s="93">
        <v>460</v>
      </c>
      <c r="E11" s="93">
        <f t="shared" si="0"/>
        <v>7.666666666666667</v>
      </c>
      <c r="F11" s="93">
        <f t="shared" si="1"/>
        <v>0.13043478260869565</v>
      </c>
      <c r="G11" s="93">
        <v>0.23609514545337201</v>
      </c>
      <c r="H11" s="96">
        <v>43.441506763420101</v>
      </c>
      <c r="I11" s="93">
        <v>302.18133583991101</v>
      </c>
      <c r="J11" s="93">
        <v>7.12328661882652</v>
      </c>
      <c r="L11" s="93">
        <v>0.30052412141129697</v>
      </c>
      <c r="M11" s="93">
        <f t="shared" si="2"/>
        <v>4.2188969431192831E-2</v>
      </c>
      <c r="N11" s="93">
        <f t="shared" si="3"/>
        <v>12.748719140427021</v>
      </c>
      <c r="O11" s="93">
        <f t="shared" si="4"/>
        <v>3.0795018972178956E-2</v>
      </c>
      <c r="P11" s="123"/>
      <c r="Q11" s="93">
        <v>0.204487865402847</v>
      </c>
      <c r="R11" s="93">
        <v>226.891876362456</v>
      </c>
      <c r="S11" s="93">
        <f>R11/60</f>
        <v>3.7815312727076003</v>
      </c>
      <c r="T11" s="93">
        <v>50.748677991249302</v>
      </c>
    </row>
    <row r="12" spans="1:20">
      <c r="A12" s="21"/>
      <c r="B12" s="54">
        <v>2</v>
      </c>
      <c r="C12" s="21">
        <v>48.419875347557799</v>
      </c>
      <c r="D12" s="21">
        <v>566</v>
      </c>
      <c r="E12" s="21">
        <f t="shared" si="0"/>
        <v>9.4333333333333336</v>
      </c>
      <c r="F12" s="21">
        <f t="shared" si="1"/>
        <v>0.10600706713780919</v>
      </c>
      <c r="G12" s="21">
        <v>0.250802009271405</v>
      </c>
      <c r="H12" s="47">
        <v>82.263059041020497</v>
      </c>
      <c r="I12" s="21">
        <v>318.48142195937299</v>
      </c>
      <c r="J12" s="21">
        <v>3.99344072221266</v>
      </c>
      <c r="L12">
        <v>0.29881329213433</v>
      </c>
      <c r="M12">
        <f t="shared" si="2"/>
        <v>7.4826024203200253E-2</v>
      </c>
      <c r="N12">
        <f t="shared" si="3"/>
        <v>23.830698587801677</v>
      </c>
      <c r="O12">
        <f t="shared" si="4"/>
        <v>2.6586785435131273E-2</v>
      </c>
      <c r="P12" s="8"/>
      <c r="Q12">
        <v>0.21493684846806399</v>
      </c>
      <c r="R12">
        <v>327.96207386204799</v>
      </c>
      <c r="S12">
        <f t="shared" si="5"/>
        <v>5.4660345643674662</v>
      </c>
      <c r="T12">
        <v>77.804899906377798</v>
      </c>
    </row>
    <row r="13" spans="1:20">
      <c r="A13" s="21"/>
      <c r="B13" s="54">
        <v>2</v>
      </c>
      <c r="C13" s="21">
        <v>50.192015735747901</v>
      </c>
      <c r="D13" s="21">
        <v>198</v>
      </c>
      <c r="E13" s="21">
        <f t="shared" si="0"/>
        <v>3.3</v>
      </c>
      <c r="F13" s="21">
        <f t="shared" si="1"/>
        <v>0.30303030303030304</v>
      </c>
      <c r="G13" s="21">
        <v>0.243971257349682</v>
      </c>
      <c r="H13" s="47">
        <v>25.3730107643668</v>
      </c>
      <c r="I13" s="21">
        <v>95.081191899589996</v>
      </c>
      <c r="J13" s="21">
        <v>3.8193078441378998</v>
      </c>
      <c r="L13">
        <v>9.2373538267442101E-2</v>
      </c>
      <c r="M13">
        <f t="shared" si="2"/>
        <v>2.4185936833874884E-2</v>
      </c>
      <c r="N13">
        <f t="shared" si="3"/>
        <v>2.2996277013730198</v>
      </c>
      <c r="O13">
        <f t="shared" si="4"/>
        <v>7.3930684045358186E-2</v>
      </c>
      <c r="P13" s="8"/>
      <c r="Q13">
        <v>0.17336675873063601</v>
      </c>
      <c r="R13">
        <v>196.688641094655</v>
      </c>
      <c r="S13">
        <f t="shared" si="5"/>
        <v>3.2781440182442498</v>
      </c>
      <c r="T13">
        <v>35.2425420208058</v>
      </c>
    </row>
    <row r="14" spans="1:20">
      <c r="A14" s="21"/>
      <c r="B14" s="54">
        <v>2</v>
      </c>
      <c r="C14" s="21">
        <v>28.632568171411499</v>
      </c>
      <c r="D14" s="21">
        <v>456</v>
      </c>
      <c r="E14" s="21">
        <f t="shared" si="0"/>
        <v>7.6</v>
      </c>
      <c r="F14" s="21">
        <f t="shared" si="1"/>
        <v>0.13157894736842105</v>
      </c>
      <c r="G14" s="21">
        <v>7.9016501690725105E-2</v>
      </c>
      <c r="H14" s="47">
        <v>14.5390363110933</v>
      </c>
      <c r="I14" s="21">
        <v>63.729426915647103</v>
      </c>
      <c r="J14" s="21">
        <v>4.1445452167269599</v>
      </c>
      <c r="L14">
        <v>0.21585009446873599</v>
      </c>
      <c r="M14">
        <f t="shared" si="2"/>
        <v>5.2080525891619454E-2</v>
      </c>
      <c r="N14">
        <f t="shared" si="3"/>
        <v>3.3190620685384289</v>
      </c>
      <c r="O14">
        <f t="shared" si="4"/>
        <v>1.0396908117200673E-2</v>
      </c>
      <c r="P14" s="8"/>
      <c r="Q14">
        <v>6.5250061481870097E-2</v>
      </c>
      <c r="R14">
        <v>227.16454359790899</v>
      </c>
      <c r="S14">
        <f t="shared" si="5"/>
        <v>3.7860757266318164</v>
      </c>
      <c r="T14">
        <v>15.654553116003999</v>
      </c>
    </row>
    <row r="15" spans="1:20" s="21" customFormat="1">
      <c r="B15" s="54">
        <v>2</v>
      </c>
      <c r="C15" s="21">
        <v>38.680519347653302</v>
      </c>
      <c r="D15" s="21">
        <v>644</v>
      </c>
      <c r="E15" s="21">
        <f t="shared" si="0"/>
        <v>10.733333333333333</v>
      </c>
      <c r="F15" s="21">
        <f t="shared" si="1"/>
        <v>9.3167701863354047E-2</v>
      </c>
      <c r="G15" s="21">
        <v>0.33095445156786601</v>
      </c>
      <c r="H15" s="47">
        <v>39.2676103438639</v>
      </c>
      <c r="I15" s="21">
        <v>179.89427541840001</v>
      </c>
      <c r="J15" s="21">
        <v>4.6796316507156401</v>
      </c>
      <c r="L15" s="21">
        <v>0.147911115470855</v>
      </c>
      <c r="M15" s="21">
        <f t="shared" si="2"/>
        <v>3.1607426932467104E-2</v>
      </c>
      <c r="N15" s="21">
        <f t="shared" si="3"/>
        <v>5.685995165856192</v>
      </c>
      <c r="O15" s="21">
        <f t="shared" si="4"/>
        <v>3.0834265674024787E-2</v>
      </c>
      <c r="P15" s="8"/>
      <c r="Q15" s="21">
        <v>0.254487528046835</v>
      </c>
      <c r="R15" s="21">
        <v>247.80387249180899</v>
      </c>
      <c r="S15" s="21">
        <f t="shared" si="5"/>
        <v>4.1300645415301496</v>
      </c>
      <c r="T15" s="21">
        <v>69.276845245233503</v>
      </c>
    </row>
    <row r="16" spans="1:20" s="93" customFormat="1">
      <c r="A16" s="93" t="s">
        <v>54</v>
      </c>
      <c r="B16" s="95">
        <v>3</v>
      </c>
      <c r="C16" s="93">
        <v>56.159407982565703</v>
      </c>
      <c r="D16" s="93">
        <v>542</v>
      </c>
      <c r="E16" s="93">
        <f t="shared" si="0"/>
        <v>9.0333333333333332</v>
      </c>
      <c r="F16" s="93">
        <f t="shared" si="1"/>
        <v>0.11070110701107011</v>
      </c>
      <c r="G16" s="93">
        <v>7.9388002541338598E-2</v>
      </c>
      <c r="H16" s="96">
        <v>10.7967683456221</v>
      </c>
      <c r="I16" s="93">
        <v>72.455021131012302</v>
      </c>
      <c r="J16" s="93">
        <v>6.5806605724272202</v>
      </c>
      <c r="K16" s="93">
        <v>9.1902411293227695E-2</v>
      </c>
      <c r="L16" s="93">
        <v>0.220881577700452</v>
      </c>
      <c r="M16" s="93">
        <f t="shared" si="2"/>
        <v>3.3565259181720979E-2</v>
      </c>
      <c r="N16" s="93">
        <f t="shared" si="3"/>
        <v>2.431971563279498</v>
      </c>
      <c r="O16" s="93">
        <f t="shared" si="4"/>
        <v>8.7883397647238303E-3</v>
      </c>
      <c r="P16" s="123"/>
      <c r="Q16" s="93">
        <v>6.64541072318732E-2</v>
      </c>
      <c r="R16" s="93">
        <v>165.23063023054601</v>
      </c>
      <c r="S16" s="93">
        <f>R16/60</f>
        <v>2.7538438371757668</v>
      </c>
      <c r="T16" s="93">
        <v>11.327648841502301</v>
      </c>
    </row>
    <row r="17" spans="1:20">
      <c r="A17" s="21"/>
      <c r="B17" s="54">
        <v>3</v>
      </c>
      <c r="C17" s="21">
        <v>45.164663142065699</v>
      </c>
      <c r="D17" s="21">
        <v>606</v>
      </c>
      <c r="E17" s="21">
        <f t="shared" si="0"/>
        <v>10.1</v>
      </c>
      <c r="F17" s="21">
        <f t="shared" si="1"/>
        <v>9.9009900990099015E-2</v>
      </c>
      <c r="G17" s="21">
        <v>0.17755986687616299</v>
      </c>
      <c r="H17" s="47">
        <v>32.671015505213099</v>
      </c>
      <c r="I17">
        <v>182.542725497454</v>
      </c>
      <c r="J17" s="21">
        <v>5.5160744974968301</v>
      </c>
      <c r="K17">
        <v>9.9612892876440901E-2</v>
      </c>
      <c r="L17">
        <v>0.21214131572242201</v>
      </c>
      <c r="M17">
        <f t="shared" si="2"/>
        <v>3.8458747397028592E-2</v>
      </c>
      <c r="N17">
        <f t="shared" si="3"/>
        <v>7.020364569071714</v>
      </c>
      <c r="O17">
        <f t="shared" si="4"/>
        <v>1.7580184839224057E-2</v>
      </c>
      <c r="P17" s="8"/>
      <c r="Q17" s="21">
        <v>0.150901439308392</v>
      </c>
      <c r="R17">
        <v>228.70255678204501</v>
      </c>
      <c r="S17">
        <f t="shared" ref="S17:S23" si="6">R17/60</f>
        <v>3.8117092797007501</v>
      </c>
      <c r="T17">
        <v>36.195701991417899</v>
      </c>
    </row>
    <row r="18" spans="1:20">
      <c r="A18" s="21"/>
      <c r="B18" s="54">
        <v>3</v>
      </c>
      <c r="C18" s="21">
        <v>18.909485931252199</v>
      </c>
      <c r="D18" s="21">
        <v>392</v>
      </c>
      <c r="E18" s="21">
        <f t="shared" si="0"/>
        <v>6.5333333333333332</v>
      </c>
      <c r="F18" s="21">
        <f t="shared" si="1"/>
        <v>0.15306122448979592</v>
      </c>
      <c r="G18" s="21">
        <v>0.351177571086843</v>
      </c>
      <c r="H18" s="47">
        <v>92.710878766928005</v>
      </c>
      <c r="I18">
        <v>194.21788846917201</v>
      </c>
      <c r="J18" s="21">
        <v>2.1408078553732302</v>
      </c>
      <c r="K18">
        <v>9.1264972082132606E-2</v>
      </c>
      <c r="L18">
        <v>0.11275497048548799</v>
      </c>
      <c r="M18">
        <f t="shared" si="2"/>
        <v>5.2669355730587133E-2</v>
      </c>
      <c r="N18">
        <f t="shared" si="3"/>
        <v>10.229331057026318</v>
      </c>
      <c r="O18">
        <f t="shared" si="4"/>
        <v>5.3751669043904542E-2</v>
      </c>
      <c r="P18" s="8"/>
      <c r="Q18" s="21">
        <v>0.26861597415840399</v>
      </c>
      <c r="R18">
        <v>341.99713655307698</v>
      </c>
      <c r="S18">
        <f t="shared" si="6"/>
        <v>5.6999522758846162</v>
      </c>
      <c r="T18">
        <v>94.119884824695703</v>
      </c>
    </row>
    <row r="19" spans="1:20">
      <c r="A19" s="21"/>
      <c r="B19" s="54">
        <v>3</v>
      </c>
      <c r="C19" s="21">
        <v>45.182777100773599</v>
      </c>
      <c r="D19" s="21">
        <v>324</v>
      </c>
      <c r="E19" s="21">
        <f t="shared" si="0"/>
        <v>5.4</v>
      </c>
      <c r="F19" s="21">
        <f t="shared" si="1"/>
        <v>0.18518518518518517</v>
      </c>
      <c r="G19" s="21">
        <v>7.5353357818725694E-2</v>
      </c>
      <c r="H19" s="47">
        <v>14.4678447011953</v>
      </c>
      <c r="I19">
        <v>51.312845990063899</v>
      </c>
      <c r="J19" s="21">
        <v>3.2016890645058198</v>
      </c>
      <c r="K19">
        <v>5.2635874459654203E-2</v>
      </c>
      <c r="L19">
        <v>0.208030997026693</v>
      </c>
      <c r="M19">
        <f t="shared" si="2"/>
        <v>6.4975390437797736E-2</v>
      </c>
      <c r="N19">
        <f t="shared" si="3"/>
        <v>3.334072202678986</v>
      </c>
      <c r="O19">
        <f t="shared" si="4"/>
        <v>1.3954325521986239E-2</v>
      </c>
      <c r="P19" s="8"/>
      <c r="Q19" s="21">
        <v>5.8484099688158597E-2</v>
      </c>
      <c r="R19">
        <v>99.490877754141906</v>
      </c>
      <c r="S19">
        <f t="shared" si="6"/>
        <v>1.6581812959023652</v>
      </c>
      <c r="T19">
        <v>5.7915337769147497</v>
      </c>
    </row>
    <row r="20" spans="1:20">
      <c r="A20" s="21"/>
      <c r="B20" s="54">
        <v>3</v>
      </c>
      <c r="C20" s="21">
        <v>54.3455035404263</v>
      </c>
      <c r="D20" s="21">
        <v>348</v>
      </c>
      <c r="E20" s="21">
        <f t="shared" si="0"/>
        <v>5.8</v>
      </c>
      <c r="F20" s="21">
        <f t="shared" si="1"/>
        <v>0.17241379310344829</v>
      </c>
      <c r="G20" s="21">
        <v>7.3621743971776094E-2</v>
      </c>
      <c r="H20" s="47">
        <v>12.368452987258401</v>
      </c>
      <c r="I20">
        <v>49.115443123556297</v>
      </c>
      <c r="J20" s="21">
        <v>3.8155724611128998</v>
      </c>
      <c r="K20">
        <v>7.9594768777017294E-2</v>
      </c>
      <c r="L20">
        <v>0.19201582898005401</v>
      </c>
      <c r="M20">
        <f t="shared" si="2"/>
        <v>5.0324251717669688E-2</v>
      </c>
      <c r="N20">
        <f t="shared" si="3"/>
        <v>2.471697922974736</v>
      </c>
      <c r="O20">
        <f t="shared" si="4"/>
        <v>1.2693404133064844E-2</v>
      </c>
      <c r="P20" s="8"/>
      <c r="Q20" s="21">
        <v>6.0417038225791302E-2</v>
      </c>
      <c r="R20">
        <v>165.35607903954701</v>
      </c>
      <c r="S20">
        <f t="shared" si="6"/>
        <v>2.7559346506591167</v>
      </c>
      <c r="T20">
        <v>9.8128088206690691</v>
      </c>
    </row>
    <row r="21" spans="1:20">
      <c r="A21" s="21"/>
      <c r="B21" s="54">
        <v>3</v>
      </c>
      <c r="C21" s="21">
        <v>40.811595634263703</v>
      </c>
      <c r="D21" s="21">
        <v>552</v>
      </c>
      <c r="E21" s="21">
        <f t="shared" si="0"/>
        <v>9.1999999999999993</v>
      </c>
      <c r="F21" s="21">
        <f t="shared" si="1"/>
        <v>0.10869565217391305</v>
      </c>
      <c r="G21" s="21">
        <v>0.106205233426989</v>
      </c>
      <c r="H21" s="47">
        <v>36.322189832030901</v>
      </c>
      <c r="I21">
        <v>92.216401956798293</v>
      </c>
      <c r="J21" s="21">
        <v>2.54413023847447</v>
      </c>
      <c r="K21">
        <v>7.5762394182276704E-2</v>
      </c>
      <c r="L21">
        <v>0.25174456295486902</v>
      </c>
      <c r="M21">
        <f t="shared" si="2"/>
        <v>9.8951130389386799E-2</v>
      </c>
      <c r="N21">
        <f t="shared" si="3"/>
        <v>9.124917214067251</v>
      </c>
      <c r="O21">
        <f t="shared" si="4"/>
        <v>1.1544047111629239E-2</v>
      </c>
      <c r="P21" s="8"/>
      <c r="Q21" s="21">
        <v>8.8790216324500404E-2</v>
      </c>
      <c r="R21">
        <v>374.78954114329701</v>
      </c>
      <c r="S21">
        <f t="shared" si="6"/>
        <v>6.2464923523882838</v>
      </c>
      <c r="T21">
        <v>33.8092113167449</v>
      </c>
    </row>
    <row r="22" spans="1:20">
      <c r="A22" s="21"/>
      <c r="B22" s="54">
        <v>3</v>
      </c>
      <c r="C22" s="21">
        <v>47.346715926787297</v>
      </c>
      <c r="D22" s="21">
        <v>230</v>
      </c>
      <c r="E22" s="21">
        <f t="shared" si="0"/>
        <v>3.8333333333333335</v>
      </c>
      <c r="F22" s="21">
        <f t="shared" si="1"/>
        <v>0.2608695652173913</v>
      </c>
      <c r="G22" s="21">
        <v>8.6550429240841498E-2</v>
      </c>
      <c r="H22" s="47">
        <v>5.5392274714138496</v>
      </c>
      <c r="I22">
        <v>66.582591283863394</v>
      </c>
      <c r="J22" s="21">
        <v>11.735146392889</v>
      </c>
      <c r="K22">
        <v>6.0007232753962497E-2</v>
      </c>
      <c r="L22">
        <v>0.21190568805070201</v>
      </c>
      <c r="M22">
        <f t="shared" si="2"/>
        <v>1.8057353607374496E-2</v>
      </c>
      <c r="N22">
        <f t="shared" si="3"/>
        <v>1.2023053949080122</v>
      </c>
      <c r="O22">
        <f t="shared" si="4"/>
        <v>2.2578372845436911E-2</v>
      </c>
      <c r="P22" s="8"/>
      <c r="Q22" s="21">
        <v>7.1656175526404201E-2</v>
      </c>
      <c r="R22">
        <v>111.365565839881</v>
      </c>
      <c r="S22">
        <f t="shared" si="6"/>
        <v>1.8560927639980167</v>
      </c>
      <c r="T22">
        <v>8.0308853546456405</v>
      </c>
    </row>
    <row r="23" spans="1:20" s="21" customFormat="1">
      <c r="B23" s="54">
        <v>3</v>
      </c>
      <c r="C23" s="21">
        <v>20.327471044046199</v>
      </c>
      <c r="D23" s="21">
        <v>464</v>
      </c>
      <c r="E23" s="21">
        <f t="shared" si="0"/>
        <v>7.7333333333333334</v>
      </c>
      <c r="F23" s="21">
        <f t="shared" si="1"/>
        <v>0.12931034482758622</v>
      </c>
      <c r="G23" s="21">
        <v>7.6913819686137905E-2</v>
      </c>
      <c r="H23" s="47">
        <v>16.921040330950301</v>
      </c>
      <c r="I23" s="21">
        <v>49.791581892166803</v>
      </c>
      <c r="J23" s="21">
        <v>2.8358122153490002</v>
      </c>
      <c r="K23" s="21">
        <v>7.1747090012608095E-2</v>
      </c>
      <c r="L23" s="21">
        <v>0.18231665013236001</v>
      </c>
      <c r="M23" s="21">
        <f t="shared" si="2"/>
        <v>6.4290804992502823E-2</v>
      </c>
      <c r="N23" s="21">
        <f t="shared" si="3"/>
        <v>3.2011408816975306</v>
      </c>
      <c r="O23" s="21">
        <f t="shared" si="4"/>
        <v>9.9457525456212812E-3</v>
      </c>
      <c r="P23" s="8"/>
      <c r="Q23" s="21">
        <v>6.3088960339188399E-2</v>
      </c>
      <c r="R23" s="21">
        <v>198.810903496306</v>
      </c>
      <c r="S23" s="21">
        <f t="shared" si="6"/>
        <v>3.3135150582717667</v>
      </c>
      <c r="T23" s="21">
        <v>12.462563802416099</v>
      </c>
    </row>
    <row r="24" spans="1:20" s="93" customFormat="1">
      <c r="A24" s="93" t="s">
        <v>56</v>
      </c>
      <c r="B24" s="95">
        <v>4</v>
      </c>
      <c r="C24" s="93">
        <v>58.352480707777303</v>
      </c>
      <c r="D24" s="93">
        <v>512</v>
      </c>
      <c r="E24" s="93">
        <f t="shared" si="0"/>
        <v>8.5333333333333332</v>
      </c>
      <c r="F24" s="93">
        <f t="shared" si="1"/>
        <v>0.1171875</v>
      </c>
      <c r="G24" s="93">
        <v>0.183455181784558</v>
      </c>
      <c r="H24" s="96">
        <v>35.223394902634901</v>
      </c>
      <c r="I24" s="93">
        <v>178.535484794089</v>
      </c>
      <c r="J24" s="93">
        <v>4.9475200061726801</v>
      </c>
      <c r="L24" s="93">
        <v>0.23282974569877499</v>
      </c>
      <c r="M24" s="93">
        <f t="shared" si="2"/>
        <v>4.7059889683778812E-2</v>
      </c>
      <c r="N24" s="93">
        <f t="shared" si="3"/>
        <v>8.401860219049798</v>
      </c>
      <c r="O24" s="93">
        <f t="shared" si="4"/>
        <v>2.149865411537789E-2</v>
      </c>
      <c r="P24" s="123"/>
      <c r="Q24" s="93">
        <v>0.15947281458210599</v>
      </c>
      <c r="R24" s="93">
        <v>215.63392458497401</v>
      </c>
      <c r="S24" s="93">
        <f>R24/60</f>
        <v>3.5938987430829004</v>
      </c>
      <c r="T24" s="93">
        <v>35.600844835153701</v>
      </c>
    </row>
    <row r="25" spans="1:20">
      <c r="A25" s="21"/>
      <c r="B25" s="54">
        <v>4</v>
      </c>
      <c r="C25" s="21">
        <v>53.980142594832699</v>
      </c>
      <c r="D25" s="21">
        <v>332</v>
      </c>
      <c r="E25" s="21">
        <f t="shared" si="0"/>
        <v>5.5333333333333332</v>
      </c>
      <c r="F25" s="21">
        <f t="shared" si="1"/>
        <v>0.18072289156626506</v>
      </c>
      <c r="G25" s="21">
        <v>3.47426324369551E-2</v>
      </c>
      <c r="H25" s="47">
        <v>4.4470569519302501</v>
      </c>
      <c r="I25" s="21">
        <v>29.097666135532901</v>
      </c>
      <c r="J25" s="21">
        <v>6.7031059550891703</v>
      </c>
      <c r="L25">
        <v>0.27512842198266002</v>
      </c>
      <c r="M25">
        <f t="shared" si="2"/>
        <v>4.1044916166628018E-2</v>
      </c>
      <c r="N25">
        <f t="shared" si="3"/>
        <v>1.1943112671774789</v>
      </c>
      <c r="O25">
        <f t="shared" si="4"/>
        <v>6.2787889946304401E-3</v>
      </c>
      <c r="P25" s="8"/>
      <c r="Q25" s="21">
        <v>2.7865280388911499E-2</v>
      </c>
      <c r="R25">
        <v>153.41891524281999</v>
      </c>
      <c r="S25">
        <f>R25/60</f>
        <v>2.5569819207136666</v>
      </c>
      <c r="T25">
        <v>3.96302707606849</v>
      </c>
    </row>
    <row r="26" spans="1:20">
      <c r="A26" s="21"/>
      <c r="B26" s="54">
        <v>4</v>
      </c>
      <c r="C26" s="21">
        <v>37.8546117945017</v>
      </c>
      <c r="D26" s="21">
        <v>554</v>
      </c>
      <c r="E26" s="21">
        <f t="shared" si="0"/>
        <v>9.2333333333333325</v>
      </c>
      <c r="F26" s="21">
        <f t="shared" si="1"/>
        <v>0.10830324909747294</v>
      </c>
      <c r="G26" s="21">
        <v>0.289319090347821</v>
      </c>
      <c r="H26" s="47">
        <v>105.890787067302</v>
      </c>
      <c r="I26" s="21">
        <v>248.67954048753199</v>
      </c>
      <c r="J26" s="21">
        <v>2.3574915707475901</v>
      </c>
      <c r="L26">
        <v>0.18892393207246699</v>
      </c>
      <c r="M26">
        <f t="shared" si="2"/>
        <v>8.0137691441482806E-2</v>
      </c>
      <c r="N26">
        <f t="shared" si="3"/>
        <v>19.928604283399569</v>
      </c>
      <c r="O26">
        <f t="shared" si="4"/>
        <v>3.1334197510594332E-2</v>
      </c>
      <c r="P26" s="8"/>
      <c r="Q26" s="21">
        <v>0.24050280954002801</v>
      </c>
      <c r="R26">
        <v>385.07108852548498</v>
      </c>
      <c r="S26">
        <f>R26/60</f>
        <v>6.41785147542475</v>
      </c>
      <c r="T26">
        <v>94.329699045689296</v>
      </c>
    </row>
    <row r="27" spans="1:20">
      <c r="A27" s="21"/>
      <c r="B27" s="54">
        <v>4</v>
      </c>
      <c r="C27" s="21">
        <v>52.586667892109404</v>
      </c>
      <c r="D27" s="21">
        <v>348</v>
      </c>
      <c r="E27" s="21">
        <f t="shared" si="0"/>
        <v>5.8</v>
      </c>
      <c r="F27" s="21">
        <f t="shared" si="1"/>
        <v>0.17241379310344829</v>
      </c>
      <c r="G27" s="21">
        <v>8.7253357792901803E-2</v>
      </c>
      <c r="H27" s="47">
        <v>9.7723760728048905</v>
      </c>
      <c r="I27" s="21">
        <v>78.059007551240597</v>
      </c>
      <c r="J27" s="21">
        <v>7.8947491174613402</v>
      </c>
      <c r="L27">
        <v>0.239302092148094</v>
      </c>
      <c r="M27">
        <f t="shared" si="2"/>
        <v>3.0311551207981225E-2</v>
      </c>
      <c r="N27">
        <f t="shared" si="3"/>
        <v>2.3660896046336224</v>
      </c>
      <c r="O27">
        <f t="shared" si="4"/>
        <v>1.5043682378086518E-2</v>
      </c>
      <c r="P27" s="8"/>
      <c r="Q27" s="21">
        <v>7.4791881546112493E-2</v>
      </c>
      <c r="R27">
        <v>101.744073167797</v>
      </c>
      <c r="S27">
        <f>R27/60</f>
        <v>1.6957345527966166</v>
      </c>
      <c r="T27">
        <v>7.6383187966824302</v>
      </c>
    </row>
    <row r="28" spans="1:20">
      <c r="A28" s="21"/>
      <c r="B28" s="54">
        <v>4</v>
      </c>
      <c r="C28" s="21">
        <v>56.582382760436602</v>
      </c>
      <c r="D28" s="21">
        <v>344</v>
      </c>
      <c r="E28" s="21">
        <f t="shared" si="0"/>
        <v>5.7333333333333334</v>
      </c>
      <c r="F28" s="21">
        <f t="shared" si="1"/>
        <v>0.1744186046511628</v>
      </c>
      <c r="G28" s="21">
        <v>7.01208279983839E-2</v>
      </c>
      <c r="H28" s="47">
        <v>8.4144993598060491</v>
      </c>
      <c r="I28" s="21">
        <v>51.892344037579299</v>
      </c>
      <c r="J28" s="21">
        <v>6.0362948582337701</v>
      </c>
      <c r="L28">
        <v>0.21368482005818201</v>
      </c>
      <c r="M28">
        <f t="shared" si="2"/>
        <v>3.5399997030745867E-2</v>
      </c>
      <c r="N28">
        <f t="shared" si="3"/>
        <v>1.8369888248487503</v>
      </c>
      <c r="O28">
        <f t="shared" si="4"/>
        <v>1.2230376976462308E-2</v>
      </c>
      <c r="P28" s="8"/>
      <c r="Q28" s="21">
        <v>5.9476772356688898E-2</v>
      </c>
      <c r="R28">
        <v>95.252429089358102</v>
      </c>
      <c r="S28">
        <f>R28/60</f>
        <v>1.5875404848226351</v>
      </c>
      <c r="T28">
        <v>5.7084333450185696</v>
      </c>
    </row>
    <row r="29" spans="1:20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20">
      <c r="A30" s="21"/>
      <c r="B30" s="21"/>
      <c r="C30" s="21"/>
      <c r="D30" s="21"/>
      <c r="E30" s="54"/>
      <c r="F30" s="21"/>
      <c r="G30" s="21"/>
      <c r="H30" s="21"/>
      <c r="I30" s="21"/>
      <c r="J30" s="21"/>
      <c r="K30" s="21"/>
      <c r="L30" s="21"/>
      <c r="M30" s="21"/>
      <c r="N30" s="21"/>
      <c r="O30" s="54"/>
      <c r="P30" s="21"/>
      <c r="Q30" s="21"/>
      <c r="R30" s="2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Norm Dose (2)</vt:lpstr>
      <vt:lpstr>BG</vt:lpstr>
      <vt:lpstr>Norm Dose</vt:lpstr>
      <vt:lpstr>FLOW</vt:lpstr>
      <vt:lpstr>flow correction</vt:lpstr>
      <vt:lpstr>LG</vt:lpstr>
      <vt:lpstr>Tumors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 Frees</cp:lastModifiedBy>
  <cp:lastPrinted>2013-10-02T19:24:15Z</cp:lastPrinted>
  <dcterms:created xsi:type="dcterms:W3CDTF">2013-06-04T14:26:28Z</dcterms:created>
  <dcterms:modified xsi:type="dcterms:W3CDTF">2014-11-24T23:03:47Z</dcterms:modified>
</cp:coreProperties>
</file>